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_cmunoz\RESP_CMS\Backup\Ejercicio 2020\Estados Financieros\"/>
    </mc:Choice>
  </mc:AlternateContent>
  <xr:revisionPtr revIDLastSave="0" documentId="13_ncr:1_{3259C548-53BF-4D23-93EF-3F591ECF23C0}" xr6:coauthVersionLast="44" xr6:coauthVersionMax="44" xr10:uidLastSave="{00000000-0000-0000-0000-000000000000}"/>
  <bookViews>
    <workbookView xWindow="-120" yWindow="-120" windowWidth="20730" windowHeight="11160" tabRatio="706" activeTab="2" xr2:uid="{00000000-000D-0000-FFFF-FFFF00000000}"/>
  </bookViews>
  <sheets>
    <sheet name="Cuadraturas" sheetId="4" r:id="rId1"/>
    <sheet name="Balance" sheetId="10" r:id="rId2"/>
    <sheet name="EE RR" sheetId="1" r:id="rId3"/>
    <sheet name="Sit. Pptaria Prog. 01 " sheetId="29" r:id="rId4"/>
    <sheet name="Flujo Efectivo" sheetId="21" r:id="rId5"/>
    <sheet name="Fondos no Pptarios" sheetId="22" r:id="rId6"/>
    <sheet name="Cambio Patrimonio" sheetId="18" r:id="rId7"/>
    <sheet name="Balance Ag" sheetId="3" r:id="rId8"/>
    <sheet name="Ene - May" sheetId="27" state="hidden" r:id="rId9"/>
    <sheet name="Jun - Dic" sheetId="26" state="hidden" r:id="rId10"/>
  </sheets>
  <definedNames>
    <definedName name="_xlnm._FilterDatabase" localSheetId="7" hidden="1">'Balance Ag'!$B$6:$G$312</definedName>
    <definedName name="_xlnm._FilterDatabase" localSheetId="8" hidden="1">'Ene - May'!$B$13:$G$257</definedName>
    <definedName name="_xlnm.Print_Titles" localSheetId="2">'EE RR'!$1:$8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39" i="1" l="1"/>
  <c r="V42" i="10"/>
  <c r="V74" i="10"/>
  <c r="V63" i="10"/>
  <c r="X68" i="1" l="1"/>
  <c r="L11" i="3" l="1"/>
  <c r="L10" i="3"/>
  <c r="L9" i="3"/>
  <c r="L8" i="3"/>
  <c r="L7" i="3"/>
  <c r="K45" i="29" l="1"/>
  <c r="K47" i="29" s="1"/>
  <c r="J45" i="29"/>
  <c r="J47" i="29" s="1"/>
  <c r="I45" i="29"/>
  <c r="I47" i="29" s="1"/>
  <c r="H45" i="29"/>
  <c r="H47" i="29" s="1"/>
  <c r="K24" i="29"/>
  <c r="K26" i="29" s="1"/>
  <c r="J24" i="29"/>
  <c r="J26" i="29" s="1"/>
  <c r="I24" i="29"/>
  <c r="I26" i="29" s="1"/>
  <c r="H24" i="29"/>
  <c r="H26" i="29" s="1"/>
  <c r="G47" i="29" l="1"/>
  <c r="F47" i="29"/>
  <c r="E47" i="29"/>
  <c r="M47" i="29" s="1"/>
  <c r="D47" i="29"/>
  <c r="L47" i="29" s="1"/>
  <c r="G46" i="29"/>
  <c r="O46" i="29" s="1"/>
  <c r="F46" i="29"/>
  <c r="N46" i="29" s="1"/>
  <c r="E46" i="29"/>
  <c r="M46" i="29" s="1"/>
  <c r="D46" i="29"/>
  <c r="L46" i="29" s="1"/>
  <c r="O47" i="29"/>
  <c r="G45" i="29"/>
  <c r="O45" i="29" s="1"/>
  <c r="F45" i="29"/>
  <c r="N45" i="29" s="1"/>
  <c r="E45" i="29"/>
  <c r="M45" i="29" s="1"/>
  <c r="D45" i="29"/>
  <c r="L45" i="29" s="1"/>
  <c r="G44" i="29"/>
  <c r="O44" i="29" s="1"/>
  <c r="F44" i="29"/>
  <c r="N44" i="29" s="1"/>
  <c r="E44" i="29"/>
  <c r="M44" i="29" s="1"/>
  <c r="D44" i="29"/>
  <c r="L44" i="29" s="1"/>
  <c r="G43" i="29"/>
  <c r="O43" i="29" s="1"/>
  <c r="F43" i="29"/>
  <c r="N43" i="29" s="1"/>
  <c r="E43" i="29"/>
  <c r="M43" i="29" s="1"/>
  <c r="D43" i="29"/>
  <c r="L43" i="29" s="1"/>
  <c r="M42" i="29"/>
  <c r="L42" i="29"/>
  <c r="G42" i="29"/>
  <c r="O42" i="29" s="1"/>
  <c r="F42" i="29"/>
  <c r="N42" i="29" s="1"/>
  <c r="E42" i="29"/>
  <c r="D42" i="29"/>
  <c r="L41" i="29"/>
  <c r="G41" i="29"/>
  <c r="O41" i="29" s="1"/>
  <c r="F41" i="29"/>
  <c r="N41" i="29" s="1"/>
  <c r="E41" i="29"/>
  <c r="M41" i="29" s="1"/>
  <c r="D41" i="29"/>
  <c r="G40" i="29"/>
  <c r="O40" i="29" s="1"/>
  <c r="F40" i="29"/>
  <c r="N40" i="29" s="1"/>
  <c r="E40" i="29"/>
  <c r="M40" i="29" s="1"/>
  <c r="D40" i="29"/>
  <c r="L40" i="29" s="1"/>
  <c r="M39" i="29"/>
  <c r="G39" i="29"/>
  <c r="O39" i="29" s="1"/>
  <c r="F39" i="29"/>
  <c r="N39" i="29" s="1"/>
  <c r="E39" i="29"/>
  <c r="D39" i="29"/>
  <c r="L39" i="29" s="1"/>
  <c r="G38" i="29"/>
  <c r="O38" i="29" s="1"/>
  <c r="F38" i="29"/>
  <c r="N38" i="29" s="1"/>
  <c r="E38" i="29"/>
  <c r="M38" i="29" s="1"/>
  <c r="D38" i="29"/>
  <c r="L38" i="29" s="1"/>
  <c r="G37" i="29"/>
  <c r="O37" i="29" s="1"/>
  <c r="F37" i="29"/>
  <c r="N37" i="29" s="1"/>
  <c r="E37" i="29"/>
  <c r="M37" i="29" s="1"/>
  <c r="D37" i="29"/>
  <c r="L37" i="29" s="1"/>
  <c r="G36" i="29"/>
  <c r="O36" i="29" s="1"/>
  <c r="F36" i="29"/>
  <c r="N36" i="29" s="1"/>
  <c r="E36" i="29"/>
  <c r="M36" i="29" s="1"/>
  <c r="D36" i="29"/>
  <c r="L36" i="29" s="1"/>
  <c r="G35" i="29"/>
  <c r="O35" i="29" s="1"/>
  <c r="F35" i="29"/>
  <c r="N35" i="29" s="1"/>
  <c r="E35" i="29"/>
  <c r="M35" i="29" s="1"/>
  <c r="D35" i="29"/>
  <c r="L35" i="29" s="1"/>
  <c r="G34" i="29"/>
  <c r="O34" i="29" s="1"/>
  <c r="F34" i="29"/>
  <c r="N34" i="29" s="1"/>
  <c r="E34" i="29"/>
  <c r="M34" i="29" s="1"/>
  <c r="D34" i="29"/>
  <c r="L34" i="29" s="1"/>
  <c r="G33" i="29"/>
  <c r="O33" i="29" s="1"/>
  <c r="F33" i="29"/>
  <c r="N33" i="29" s="1"/>
  <c r="E33" i="29"/>
  <c r="M33" i="29" s="1"/>
  <c r="D33" i="29"/>
  <c r="L33" i="29" s="1"/>
  <c r="G32" i="29"/>
  <c r="O32" i="29" s="1"/>
  <c r="F32" i="29"/>
  <c r="N32" i="29" s="1"/>
  <c r="E32" i="29"/>
  <c r="M32" i="29" s="1"/>
  <c r="D32" i="29"/>
  <c r="L32" i="29" s="1"/>
  <c r="G31" i="29"/>
  <c r="O31" i="29" s="1"/>
  <c r="F31" i="29"/>
  <c r="N31" i="29" s="1"/>
  <c r="E31" i="29"/>
  <c r="M31" i="29" s="1"/>
  <c r="D31" i="29"/>
  <c r="L31" i="29" s="1"/>
  <c r="G26" i="29"/>
  <c r="F26" i="29"/>
  <c r="E26" i="29"/>
  <c r="D26" i="29"/>
  <c r="L26" i="29" s="1"/>
  <c r="G25" i="29"/>
  <c r="O25" i="29" s="1"/>
  <c r="F25" i="29"/>
  <c r="N25" i="29" s="1"/>
  <c r="E25" i="29"/>
  <c r="M25" i="29" s="1"/>
  <c r="D25" i="29"/>
  <c r="L25" i="29" s="1"/>
  <c r="G24" i="29"/>
  <c r="O24" i="29" s="1"/>
  <c r="F24" i="29"/>
  <c r="N24" i="29" s="1"/>
  <c r="E24" i="29"/>
  <c r="D24" i="29"/>
  <c r="G23" i="29"/>
  <c r="O23" i="29" s="1"/>
  <c r="F23" i="29"/>
  <c r="N23" i="29" s="1"/>
  <c r="E23" i="29"/>
  <c r="M23" i="29" s="1"/>
  <c r="D23" i="29"/>
  <c r="L23" i="29" s="1"/>
  <c r="G22" i="29"/>
  <c r="O22" i="29" s="1"/>
  <c r="F22" i="29"/>
  <c r="N22" i="29" s="1"/>
  <c r="E22" i="29"/>
  <c r="M22" i="29" s="1"/>
  <c r="D22" i="29"/>
  <c r="L22" i="29" s="1"/>
  <c r="G21" i="29"/>
  <c r="O21" i="29" s="1"/>
  <c r="F21" i="29"/>
  <c r="N21" i="29" s="1"/>
  <c r="E21" i="29"/>
  <c r="M21" i="29" s="1"/>
  <c r="D21" i="29"/>
  <c r="L21" i="29" s="1"/>
  <c r="G20" i="29"/>
  <c r="O20" i="29" s="1"/>
  <c r="F20" i="29"/>
  <c r="N20" i="29" s="1"/>
  <c r="E20" i="29"/>
  <c r="M20" i="29" s="1"/>
  <c r="D20" i="29"/>
  <c r="L20" i="29" s="1"/>
  <c r="G19" i="29"/>
  <c r="O19" i="29" s="1"/>
  <c r="F19" i="29"/>
  <c r="N19" i="29" s="1"/>
  <c r="E19" i="29"/>
  <c r="M19" i="29" s="1"/>
  <c r="D19" i="29"/>
  <c r="L19" i="29" s="1"/>
  <c r="G18" i="29"/>
  <c r="O18" i="29" s="1"/>
  <c r="F18" i="29"/>
  <c r="N18" i="29" s="1"/>
  <c r="E18" i="29"/>
  <c r="M18" i="29" s="1"/>
  <c r="D18" i="29"/>
  <c r="L18" i="29" s="1"/>
  <c r="L17" i="29"/>
  <c r="G17" i="29"/>
  <c r="O17" i="29" s="1"/>
  <c r="F17" i="29"/>
  <c r="N17" i="29" s="1"/>
  <c r="E17" i="29"/>
  <c r="M17" i="29" s="1"/>
  <c r="D17" i="29"/>
  <c r="G16" i="29"/>
  <c r="O16" i="29" s="1"/>
  <c r="F16" i="29"/>
  <c r="N16" i="29" s="1"/>
  <c r="E16" i="29"/>
  <c r="M16" i="29" s="1"/>
  <c r="D16" i="29"/>
  <c r="L16" i="29" s="1"/>
  <c r="G15" i="29"/>
  <c r="O15" i="29" s="1"/>
  <c r="F15" i="29"/>
  <c r="N15" i="29" s="1"/>
  <c r="E15" i="29"/>
  <c r="M15" i="29" s="1"/>
  <c r="D15" i="29"/>
  <c r="L15" i="29" s="1"/>
  <c r="G14" i="29"/>
  <c r="O14" i="29" s="1"/>
  <c r="F14" i="29"/>
  <c r="N14" i="29" s="1"/>
  <c r="E14" i="29"/>
  <c r="M14" i="29" s="1"/>
  <c r="D14" i="29"/>
  <c r="L14" i="29" s="1"/>
  <c r="G13" i="29"/>
  <c r="O13" i="29" s="1"/>
  <c r="F13" i="29"/>
  <c r="N13" i="29" s="1"/>
  <c r="E13" i="29"/>
  <c r="M13" i="29" s="1"/>
  <c r="D13" i="29"/>
  <c r="L13" i="29" s="1"/>
  <c r="G12" i="29"/>
  <c r="O12" i="29" s="1"/>
  <c r="F12" i="29"/>
  <c r="N12" i="29" s="1"/>
  <c r="E12" i="29"/>
  <c r="M12" i="29" s="1"/>
  <c r="D12" i="29"/>
  <c r="L12" i="29" s="1"/>
  <c r="M24" i="29" l="1"/>
  <c r="M26" i="29"/>
  <c r="N26" i="29"/>
  <c r="L24" i="29"/>
  <c r="O26" i="29"/>
  <c r="N47" i="29"/>
  <c r="H22" i="18" l="1"/>
  <c r="H19" i="18"/>
  <c r="H16" i="18"/>
  <c r="H15" i="18"/>
  <c r="H12" i="18"/>
  <c r="H11" i="18"/>
  <c r="F25" i="18" l="1"/>
  <c r="G25" i="18"/>
  <c r="G23" i="18"/>
  <c r="G20" i="18"/>
  <c r="G17" i="18" l="1"/>
  <c r="G14" i="18" s="1"/>
  <c r="G13" i="18"/>
  <c r="G10" i="18" s="1"/>
  <c r="G18" i="18" s="1"/>
  <c r="G26" i="22"/>
  <c r="G25" i="22"/>
  <c r="G24" i="22"/>
  <c r="G23" i="22"/>
  <c r="G22" i="22"/>
  <c r="G21" i="22"/>
  <c r="G20" i="22"/>
  <c r="G19" i="22"/>
  <c r="G17" i="22"/>
  <c r="G16" i="22"/>
  <c r="G15" i="22"/>
  <c r="G14" i="22"/>
  <c r="G13" i="22"/>
  <c r="G12" i="22"/>
  <c r="G11" i="22"/>
  <c r="G10" i="22"/>
  <c r="I51" i="21"/>
  <c r="I50" i="21"/>
  <c r="I43" i="21"/>
  <c r="I40" i="21"/>
  <c r="I39" i="21"/>
  <c r="I38" i="21"/>
  <c r="I37" i="21"/>
  <c r="I35" i="21"/>
  <c r="I34" i="21"/>
  <c r="I33" i="21"/>
  <c r="I29" i="21"/>
  <c r="I28" i="21"/>
  <c r="I27" i="21"/>
  <c r="I26" i="21"/>
  <c r="I25" i="21"/>
  <c r="I24" i="21"/>
  <c r="I23" i="21"/>
  <c r="I22" i="21"/>
  <c r="I21" i="21"/>
  <c r="I19" i="21"/>
  <c r="I18" i="21"/>
  <c r="I17" i="21"/>
  <c r="I16" i="21"/>
  <c r="I15" i="21"/>
  <c r="I14" i="21"/>
  <c r="I13" i="21"/>
  <c r="I12" i="21"/>
  <c r="X69" i="1"/>
  <c r="X66" i="1"/>
  <c r="X65" i="1"/>
  <c r="X64" i="1"/>
  <c r="X63" i="1"/>
  <c r="X61" i="1"/>
  <c r="X60" i="1"/>
  <c r="X59" i="1"/>
  <c r="X58" i="1"/>
  <c r="X56" i="1"/>
  <c r="X55" i="1"/>
  <c r="X54" i="1"/>
  <c r="X52" i="1"/>
  <c r="X51" i="1"/>
  <c r="X50" i="1"/>
  <c r="X49" i="1"/>
  <c r="X48" i="1"/>
  <c r="X47" i="1"/>
  <c r="X38" i="1"/>
  <c r="X36" i="1"/>
  <c r="X35" i="1"/>
  <c r="X34" i="1"/>
  <c r="X33" i="1"/>
  <c r="X32" i="1"/>
  <c r="X30" i="1"/>
  <c r="X29" i="1"/>
  <c r="X28" i="1"/>
  <c r="X27" i="1"/>
  <c r="X26" i="1"/>
  <c r="X24" i="1"/>
  <c r="X22" i="1"/>
  <c r="X21" i="1"/>
  <c r="X19" i="1"/>
  <c r="X18" i="1"/>
  <c r="X17" i="1"/>
  <c r="X15" i="1"/>
  <c r="X14" i="1"/>
  <c r="W92" i="10"/>
  <c r="V92" i="10"/>
  <c r="V91" i="10"/>
  <c r="V90" i="10"/>
  <c r="V85" i="10"/>
  <c r="V84" i="10"/>
  <c r="V83" i="10"/>
  <c r="V82" i="10"/>
  <c r="V78" i="10"/>
  <c r="V77" i="10"/>
  <c r="V73" i="10"/>
  <c r="V72" i="10"/>
  <c r="V71" i="10"/>
  <c r="V70" i="10"/>
  <c r="V69" i="10"/>
  <c r="V68" i="10"/>
  <c r="V66" i="10"/>
  <c r="V65" i="10"/>
  <c r="V57" i="10"/>
  <c r="V56" i="10"/>
  <c r="V55" i="10"/>
  <c r="V54" i="10"/>
  <c r="V52" i="10"/>
  <c r="V51" i="10"/>
  <c r="V50" i="10"/>
  <c r="V48" i="10"/>
  <c r="V47" i="10"/>
  <c r="V46" i="10"/>
  <c r="V44" i="10"/>
  <c r="V43" i="10"/>
  <c r="V41" i="10"/>
  <c r="V40" i="10"/>
  <c r="V39" i="10"/>
  <c r="V38" i="10"/>
  <c r="V37" i="10"/>
  <c r="V36" i="10"/>
  <c r="W34" i="10"/>
  <c r="V34" i="10"/>
  <c r="V33" i="10"/>
  <c r="V32" i="10"/>
  <c r="V31" i="10"/>
  <c r="V28" i="10"/>
  <c r="V25" i="10"/>
  <c r="V24" i="10"/>
  <c r="V23" i="10"/>
  <c r="V22" i="10"/>
  <c r="V21" i="10"/>
  <c r="V20" i="10"/>
  <c r="V19" i="10"/>
  <c r="V18" i="10"/>
  <c r="V16" i="10"/>
  <c r="V15" i="10"/>
  <c r="V14" i="10"/>
  <c r="J14" i="4"/>
  <c r="I14" i="4"/>
  <c r="I15" i="4"/>
  <c r="I16" i="4"/>
  <c r="H16" i="4"/>
  <c r="H15" i="4"/>
  <c r="H14" i="4"/>
  <c r="H6" i="4"/>
  <c r="H5" i="4"/>
  <c r="H4" i="4"/>
  <c r="G21" i="18" l="1"/>
  <c r="G24" i="18" s="1"/>
  <c r="G26" i="18" s="1"/>
  <c r="W72" i="1"/>
  <c r="W71" i="1"/>
  <c r="F27" i="18" s="1"/>
  <c r="W69" i="1"/>
  <c r="W68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U94" i="10"/>
  <c r="U93" i="10"/>
  <c r="U92" i="10"/>
  <c r="H3" i="4" s="1"/>
  <c r="U91" i="10"/>
  <c r="U90" i="10"/>
  <c r="U89" i="10"/>
  <c r="U88" i="10"/>
  <c r="U79" i="10"/>
  <c r="U76" i="10"/>
  <c r="U75" i="10"/>
  <c r="U67" i="10"/>
  <c r="U64" i="10"/>
  <c r="U62" i="10"/>
  <c r="U61" i="10"/>
  <c r="U86" i="10"/>
  <c r="I19" i="4" s="1"/>
  <c r="U85" i="10"/>
  <c r="U84" i="10"/>
  <c r="U83" i="10"/>
  <c r="U82" i="10"/>
  <c r="U81" i="10"/>
  <c r="U80" i="10"/>
  <c r="U78" i="10"/>
  <c r="U77" i="10"/>
  <c r="U74" i="10"/>
  <c r="U73" i="10"/>
  <c r="U72" i="10"/>
  <c r="U71" i="10"/>
  <c r="U70" i="10"/>
  <c r="U69" i="10"/>
  <c r="U68" i="10"/>
  <c r="U66" i="10"/>
  <c r="U65" i="10"/>
  <c r="U63" i="10"/>
  <c r="AB1" i="1" l="1"/>
  <c r="Y39" i="1"/>
  <c r="Y38" i="1"/>
  <c r="Y36" i="1"/>
  <c r="Y35" i="1"/>
  <c r="Y34" i="1"/>
  <c r="Y33" i="1"/>
  <c r="Y32" i="1"/>
  <c r="Y30" i="1"/>
  <c r="Y29" i="1"/>
  <c r="Y28" i="1"/>
  <c r="Y27" i="1"/>
  <c r="Y24" i="1"/>
  <c r="Y19" i="1"/>
  <c r="Y18" i="1"/>
  <c r="Y17" i="1"/>
  <c r="Y15" i="1"/>
  <c r="Y14" i="1"/>
  <c r="J17" i="4"/>
  <c r="Y26" i="1" l="1"/>
  <c r="Y22" i="1"/>
  <c r="Y21" i="1"/>
  <c r="F26" i="22" l="1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U51" i="10" l="1"/>
  <c r="U50" i="10"/>
  <c r="U49" i="10"/>
  <c r="U48" i="10"/>
  <c r="U47" i="10"/>
  <c r="U46" i="10"/>
  <c r="U45" i="10"/>
  <c r="U44" i="10"/>
  <c r="U43" i="10"/>
  <c r="U42" i="10"/>
  <c r="U41" i="10"/>
  <c r="U40" i="10"/>
  <c r="U39" i="10"/>
  <c r="U38" i="10"/>
  <c r="U37" i="10"/>
  <c r="U36" i="10"/>
  <c r="U35" i="10"/>
  <c r="U34" i="10"/>
  <c r="U33" i="10"/>
  <c r="U32" i="10"/>
  <c r="U31" i="10"/>
  <c r="U30" i="10"/>
  <c r="U29" i="10"/>
  <c r="U28" i="10"/>
  <c r="U27" i="10"/>
  <c r="U26" i="10"/>
  <c r="U25" i="10"/>
  <c r="U24" i="10"/>
  <c r="U23" i="10"/>
  <c r="U22" i="10"/>
  <c r="U21" i="10"/>
  <c r="U20" i="10"/>
  <c r="U19" i="10"/>
  <c r="U18" i="10"/>
  <c r="U17" i="10"/>
  <c r="U16" i="10"/>
  <c r="U15" i="10"/>
  <c r="U14" i="10"/>
  <c r="U13" i="10"/>
  <c r="U12" i="10"/>
  <c r="U58" i="10" l="1"/>
  <c r="H19" i="4" s="1"/>
  <c r="U57" i="10"/>
  <c r="U53" i="10"/>
  <c r="U56" i="10"/>
  <c r="U55" i="10"/>
  <c r="U54" i="10"/>
  <c r="U52" i="10"/>
  <c r="U95" i="10" l="1"/>
  <c r="K1" i="18"/>
  <c r="K1" i="22"/>
  <c r="M1" i="21"/>
  <c r="L1" i="29"/>
  <c r="F18" i="18" l="1"/>
  <c r="H18" i="18" s="1"/>
  <c r="F17" i="18"/>
  <c r="H17" i="18" s="1"/>
  <c r="F13" i="18"/>
  <c r="H13" i="18" s="1"/>
  <c r="F24" i="18"/>
  <c r="F23" i="18"/>
  <c r="H23" i="18" s="1"/>
  <c r="F21" i="18"/>
  <c r="H21" i="18" s="1"/>
  <c r="F20" i="18"/>
  <c r="F14" i="18"/>
  <c r="H14" i="18" s="1"/>
  <c r="F10" i="18"/>
  <c r="H10" i="18" s="1"/>
  <c r="H24" i="18" l="1"/>
  <c r="F26" i="18"/>
  <c r="H20" i="18"/>
  <c r="F28" i="18"/>
  <c r="F9" i="22"/>
  <c r="H51" i="21"/>
  <c r="H50" i="21"/>
  <c r="H49" i="21"/>
  <c r="H52" i="21" s="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W12" i="1"/>
  <c r="F28" i="22" l="1"/>
  <c r="H53" i="21"/>
  <c r="H54" i="21" s="1"/>
  <c r="W74" i="1"/>
  <c r="I18" i="4" l="1"/>
  <c r="H7" i="4"/>
  <c r="I3" i="4"/>
  <c r="J3" i="4" s="1"/>
  <c r="J50" i="21" l="1"/>
  <c r="H26" i="22" l="1"/>
  <c r="H25" i="22"/>
  <c r="H24" i="22"/>
  <c r="H23" i="22"/>
  <c r="H22" i="22"/>
  <c r="H21" i="22"/>
  <c r="H20" i="22"/>
  <c r="H19" i="22"/>
  <c r="H17" i="22"/>
  <c r="H16" i="22"/>
  <c r="H15" i="22"/>
  <c r="H14" i="22"/>
  <c r="H13" i="22"/>
  <c r="H12" i="22"/>
  <c r="H11" i="22"/>
  <c r="H10" i="22"/>
  <c r="J43" i="21"/>
  <c r="J35" i="21"/>
  <c r="J34" i="21"/>
  <c r="J33" i="21"/>
  <c r="J51" i="21"/>
  <c r="J45" i="21"/>
  <c r="J40" i="21"/>
  <c r="J39" i="21"/>
  <c r="J38" i="21"/>
  <c r="J37" i="21"/>
  <c r="J30" i="21"/>
  <c r="J29" i="21"/>
  <c r="J28" i="21"/>
  <c r="J27" i="21"/>
  <c r="J26" i="21"/>
  <c r="J25" i="21"/>
  <c r="J24" i="21"/>
  <c r="J23" i="21"/>
  <c r="J22" i="21"/>
  <c r="J21" i="21"/>
  <c r="J19" i="21"/>
  <c r="J18" i="21"/>
  <c r="J17" i="21"/>
  <c r="J16" i="21"/>
  <c r="J15" i="21"/>
  <c r="J14" i="21"/>
  <c r="J13" i="21"/>
  <c r="J12" i="21"/>
  <c r="Y72" i="1"/>
  <c r="I49" i="21" l="1"/>
  <c r="J49" i="21" s="1"/>
  <c r="I42" i="21"/>
  <c r="J42" i="21" s="1"/>
  <c r="I44" i="21"/>
  <c r="J44" i="21" s="1"/>
  <c r="I36" i="21"/>
  <c r="J36" i="21" s="1"/>
  <c r="I11" i="21"/>
  <c r="J11" i="21" s="1"/>
  <c r="I32" i="21"/>
  <c r="J32" i="21" s="1"/>
  <c r="G18" i="22"/>
  <c r="Y66" i="1"/>
  <c r="Y65" i="1"/>
  <c r="Y64" i="1"/>
  <c r="Y63" i="1"/>
  <c r="Y61" i="1"/>
  <c r="Y60" i="1"/>
  <c r="Y59" i="1"/>
  <c r="Y58" i="1"/>
  <c r="Y56" i="1"/>
  <c r="Y55" i="1"/>
  <c r="Y54" i="1"/>
  <c r="Y52" i="1"/>
  <c r="Y51" i="1"/>
  <c r="Y50" i="1"/>
  <c r="Y49" i="1"/>
  <c r="Y48" i="1"/>
  <c r="Y47" i="1"/>
  <c r="Y46" i="1" l="1"/>
  <c r="I41" i="21"/>
  <c r="J41" i="21" s="1"/>
  <c r="I52" i="21"/>
  <c r="J52" i="21" s="1"/>
  <c r="I31" i="21"/>
  <c r="J31" i="21" s="1"/>
  <c r="Y57" i="1"/>
  <c r="H18" i="22"/>
  <c r="I48" i="21"/>
  <c r="J48" i="21" s="1"/>
  <c r="X23" i="1"/>
  <c r="Y23" i="1" s="1"/>
  <c r="X13" i="1"/>
  <c r="Y13" i="1" s="1"/>
  <c r="X25" i="1"/>
  <c r="Y25" i="1" s="1"/>
  <c r="Y62" i="1"/>
  <c r="Y53" i="1"/>
  <c r="X53" i="1"/>
  <c r="X31" i="1"/>
  <c r="Y31" i="1" s="1"/>
  <c r="X37" i="1"/>
  <c r="Y37" i="1" s="1"/>
  <c r="X16" i="1"/>
  <c r="Y16" i="1" s="1"/>
  <c r="X20" i="1"/>
  <c r="Y20" i="1" s="1"/>
  <c r="X62" i="1"/>
  <c r="X46" i="1"/>
  <c r="X57" i="1"/>
  <c r="X93" i="10"/>
  <c r="Y93" i="10" s="1"/>
  <c r="W79" i="10"/>
  <c r="W76" i="10"/>
  <c r="W67" i="10"/>
  <c r="W64" i="10"/>
  <c r="W62" i="10"/>
  <c r="X81" i="10"/>
  <c r="Y81" i="10" s="1"/>
  <c r="X80" i="10"/>
  <c r="Y80" i="10" s="1"/>
  <c r="X30" i="10"/>
  <c r="Y30" i="10" s="1"/>
  <c r="X29" i="10"/>
  <c r="Y29" i="10" s="1"/>
  <c r="W53" i="10"/>
  <c r="W49" i="10"/>
  <c r="W45" i="10"/>
  <c r="W35" i="10"/>
  <c r="W27" i="10"/>
  <c r="W13" i="10"/>
  <c r="X91" i="10"/>
  <c r="Y91" i="10" s="1"/>
  <c r="X90" i="10"/>
  <c r="Y90" i="10" s="1"/>
  <c r="X85" i="10"/>
  <c r="Y85" i="10" s="1"/>
  <c r="X84" i="10"/>
  <c r="Y84" i="10" s="1"/>
  <c r="X83" i="10"/>
  <c r="Y83" i="10" s="1"/>
  <c r="X78" i="10"/>
  <c r="Y78" i="10" s="1"/>
  <c r="X74" i="10"/>
  <c r="Y74" i="10" s="1"/>
  <c r="X73" i="10"/>
  <c r="Y73" i="10" s="1"/>
  <c r="X72" i="10"/>
  <c r="Y72" i="10" s="1"/>
  <c r="X71" i="10"/>
  <c r="Y71" i="10" s="1"/>
  <c r="X70" i="10"/>
  <c r="Y70" i="10" s="1"/>
  <c r="X69" i="10"/>
  <c r="Y69" i="10" s="1"/>
  <c r="X68" i="10"/>
  <c r="Y68" i="10" s="1"/>
  <c r="X66" i="10"/>
  <c r="Y66" i="10" s="1"/>
  <c r="X65" i="10"/>
  <c r="Y65" i="10" s="1"/>
  <c r="V62" i="10"/>
  <c r="X57" i="10"/>
  <c r="Y57" i="10" s="1"/>
  <c r="X56" i="10"/>
  <c r="Y56" i="10" s="1"/>
  <c r="X55" i="10"/>
  <c r="Y55" i="10" s="1"/>
  <c r="X54" i="10"/>
  <c r="Y54" i="10" s="1"/>
  <c r="X52" i="10"/>
  <c r="Y52" i="10" s="1"/>
  <c r="X51" i="10"/>
  <c r="Y51" i="10" s="1"/>
  <c r="X50" i="10"/>
  <c r="Y50" i="10" s="1"/>
  <c r="X48" i="10"/>
  <c r="Y48" i="10" s="1"/>
  <c r="X47" i="10"/>
  <c r="Y47" i="10" s="1"/>
  <c r="X46" i="10"/>
  <c r="Y46" i="10" s="1"/>
  <c r="X44" i="10"/>
  <c r="Y44" i="10" s="1"/>
  <c r="X43" i="10"/>
  <c r="Y43" i="10" s="1"/>
  <c r="X42" i="10"/>
  <c r="Y42" i="10" s="1"/>
  <c r="X41" i="10"/>
  <c r="Y41" i="10" s="1"/>
  <c r="X40" i="10"/>
  <c r="Y40" i="10" s="1"/>
  <c r="X39" i="10"/>
  <c r="Y39" i="10" s="1"/>
  <c r="X38" i="10"/>
  <c r="Y38" i="10" s="1"/>
  <c r="X37" i="10"/>
  <c r="Y37" i="10" s="1"/>
  <c r="X36" i="10"/>
  <c r="Y36" i="10" s="1"/>
  <c r="X33" i="10"/>
  <c r="Y33" i="10" s="1"/>
  <c r="X32" i="10"/>
  <c r="Y32" i="10" s="1"/>
  <c r="X31" i="10"/>
  <c r="Y31" i="10" s="1"/>
  <c r="X28" i="10"/>
  <c r="Y28" i="10" s="1"/>
  <c r="X34" i="10" l="1"/>
  <c r="Y34" i="10" s="1"/>
  <c r="V79" i="10"/>
  <c r="X79" i="10" s="1"/>
  <c r="Y79" i="10" s="1"/>
  <c r="X45" i="1"/>
  <c r="Y45" i="1"/>
  <c r="X62" i="10"/>
  <c r="Y62" i="10" s="1"/>
  <c r="V89" i="10"/>
  <c r="V88" i="10" s="1"/>
  <c r="X63" i="10"/>
  <c r="Y63" i="10" s="1"/>
  <c r="V67" i="10"/>
  <c r="X67" i="10" s="1"/>
  <c r="Y67" i="10" s="1"/>
  <c r="V76" i="10"/>
  <c r="X82" i="10"/>
  <c r="Y82" i="10" s="1"/>
  <c r="X92" i="10"/>
  <c r="Y92" i="10" s="1"/>
  <c r="W89" i="10"/>
  <c r="W17" i="10"/>
  <c r="W61" i="10"/>
  <c r="W75" i="10"/>
  <c r="X77" i="10"/>
  <c r="Y77" i="10" s="1"/>
  <c r="W26" i="10"/>
  <c r="V45" i="10"/>
  <c r="X45" i="10" s="1"/>
  <c r="Y45" i="10" s="1"/>
  <c r="V49" i="10"/>
  <c r="X49" i="10" s="1"/>
  <c r="Y49" i="10" s="1"/>
  <c r="V35" i="10"/>
  <c r="X35" i="10" s="1"/>
  <c r="Y35" i="10" s="1"/>
  <c r="V64" i="10"/>
  <c r="X64" i="10" s="1"/>
  <c r="Y64" i="10" s="1"/>
  <c r="V53" i="10"/>
  <c r="X53" i="10" s="1"/>
  <c r="Y53" i="10" s="1"/>
  <c r="I6" i="4" l="1"/>
  <c r="V75" i="10"/>
  <c r="X75" i="10" s="1"/>
  <c r="Y75" i="10" s="1"/>
  <c r="X76" i="10"/>
  <c r="Y76" i="10" s="1"/>
  <c r="V61" i="10"/>
  <c r="W88" i="10"/>
  <c r="X89" i="10"/>
  <c r="Y89" i="10" s="1"/>
  <c r="W12" i="10"/>
  <c r="W86" i="10"/>
  <c r="V86" i="10" l="1"/>
  <c r="V94" i="10" s="1"/>
  <c r="X61" i="10"/>
  <c r="Y61" i="10" s="1"/>
  <c r="W94" i="10"/>
  <c r="X88" i="10"/>
  <c r="Y88" i="10" s="1"/>
  <c r="W58" i="10"/>
  <c r="W95" i="10" l="1"/>
  <c r="X94" i="10"/>
  <c r="Y94" i="10" s="1"/>
  <c r="X86" i="10"/>
  <c r="Y86" i="10" s="1"/>
  <c r="X25" i="10" l="1"/>
  <c r="Y25" i="10" s="1"/>
  <c r="X24" i="10"/>
  <c r="Y24" i="10" s="1"/>
  <c r="X23" i="10"/>
  <c r="Y23" i="10" s="1"/>
  <c r="X22" i="10"/>
  <c r="Y22" i="10" s="1"/>
  <c r="X21" i="10"/>
  <c r="Y21" i="10" s="1"/>
  <c r="X20" i="10"/>
  <c r="Y20" i="10" s="1"/>
  <c r="X19" i="10"/>
  <c r="Y19" i="10" s="1"/>
  <c r="X18" i="10"/>
  <c r="Y18" i="10" s="1"/>
  <c r="X16" i="10"/>
  <c r="Y16" i="10" s="1"/>
  <c r="X15" i="10"/>
  <c r="Y15" i="10" s="1"/>
  <c r="X14" i="10"/>
  <c r="Y14" i="10" s="1"/>
  <c r="Y69" i="1" l="1"/>
  <c r="Y68" i="1"/>
  <c r="V27" i="10" l="1"/>
  <c r="V26" i="10" l="1"/>
  <c r="X26" i="10" s="1"/>
  <c r="Y26" i="10" s="1"/>
  <c r="X27" i="10"/>
  <c r="Y27" i="10" s="1"/>
  <c r="L12" i="3" l="1"/>
  <c r="H8" i="26" l="1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H63" i="26"/>
  <c r="H64" i="26"/>
  <c r="H65" i="26"/>
  <c r="H66" i="26"/>
  <c r="H67" i="26"/>
  <c r="H68" i="26"/>
  <c r="H69" i="26"/>
  <c r="H70" i="26"/>
  <c r="H71" i="26"/>
  <c r="H72" i="26"/>
  <c r="H73" i="26"/>
  <c r="H74" i="26"/>
  <c r="H75" i="26"/>
  <c r="H76" i="26"/>
  <c r="H77" i="26"/>
  <c r="H78" i="26"/>
  <c r="H79" i="26"/>
  <c r="H80" i="26"/>
  <c r="H81" i="26"/>
  <c r="H82" i="26"/>
  <c r="H83" i="26"/>
  <c r="H84" i="26"/>
  <c r="H85" i="26"/>
  <c r="H86" i="26"/>
  <c r="H87" i="26"/>
  <c r="H88" i="26"/>
  <c r="H89" i="26"/>
  <c r="H90" i="26"/>
  <c r="H91" i="26"/>
  <c r="H92" i="26"/>
  <c r="H93" i="26"/>
  <c r="H94" i="26"/>
  <c r="H95" i="26"/>
  <c r="H96" i="26"/>
  <c r="H97" i="26"/>
  <c r="H98" i="26"/>
  <c r="H99" i="26"/>
  <c r="H100" i="26"/>
  <c r="H101" i="26"/>
  <c r="H102" i="26"/>
  <c r="H103" i="26"/>
  <c r="H104" i="26"/>
  <c r="H105" i="26"/>
  <c r="H106" i="26"/>
  <c r="H107" i="26"/>
  <c r="H108" i="26"/>
  <c r="H109" i="26"/>
  <c r="H110" i="26"/>
  <c r="H111" i="26"/>
  <c r="H112" i="26"/>
  <c r="H113" i="26"/>
  <c r="H114" i="26"/>
  <c r="H115" i="26"/>
  <c r="H116" i="26"/>
  <c r="H117" i="26"/>
  <c r="H118" i="26"/>
  <c r="H119" i="26"/>
  <c r="H120" i="26"/>
  <c r="H121" i="26"/>
  <c r="H122" i="26"/>
  <c r="H123" i="26"/>
  <c r="H124" i="26"/>
  <c r="H125" i="26"/>
  <c r="H126" i="26"/>
  <c r="H127" i="26"/>
  <c r="H128" i="26"/>
  <c r="H129" i="26"/>
  <c r="H130" i="26"/>
  <c r="H131" i="26"/>
  <c r="H132" i="26"/>
  <c r="H133" i="26"/>
  <c r="H134" i="26"/>
  <c r="H135" i="26"/>
  <c r="H136" i="26"/>
  <c r="H137" i="26"/>
  <c r="H138" i="26"/>
  <c r="H139" i="26"/>
  <c r="H140" i="26"/>
  <c r="H141" i="26"/>
  <c r="H142" i="26"/>
  <c r="H143" i="26"/>
  <c r="H144" i="26"/>
  <c r="H145" i="26"/>
  <c r="H146" i="26"/>
  <c r="H147" i="26"/>
  <c r="H148" i="26"/>
  <c r="H149" i="26"/>
  <c r="H150" i="26"/>
  <c r="H151" i="26"/>
  <c r="H152" i="26"/>
  <c r="H153" i="26"/>
  <c r="H154" i="26"/>
  <c r="H155" i="26"/>
  <c r="H156" i="26"/>
  <c r="H157" i="26"/>
  <c r="H158" i="26"/>
  <c r="H159" i="26"/>
  <c r="H160" i="26"/>
  <c r="H161" i="26"/>
  <c r="H162" i="26"/>
  <c r="H163" i="26"/>
  <c r="H164" i="26"/>
  <c r="H165" i="26"/>
  <c r="H166" i="26"/>
  <c r="H167" i="26"/>
  <c r="H168" i="26"/>
  <c r="H169" i="26"/>
  <c r="H170" i="26"/>
  <c r="H171" i="26"/>
  <c r="H172" i="26"/>
  <c r="H173" i="26"/>
  <c r="H174" i="26"/>
  <c r="H175" i="26"/>
  <c r="H176" i="26"/>
  <c r="H177" i="26"/>
  <c r="H178" i="26"/>
  <c r="H179" i="26"/>
  <c r="H180" i="26"/>
  <c r="H181" i="26"/>
  <c r="H182" i="26"/>
  <c r="H183" i="26"/>
  <c r="H184" i="26"/>
  <c r="H185" i="26"/>
  <c r="H186" i="26"/>
  <c r="H187" i="26"/>
  <c r="H188" i="26"/>
  <c r="H189" i="26"/>
  <c r="H190" i="26"/>
  <c r="H191" i="26"/>
  <c r="H192" i="26"/>
  <c r="H193" i="26"/>
  <c r="H194" i="26"/>
  <c r="H195" i="26"/>
  <c r="H196" i="26"/>
  <c r="H197" i="26"/>
  <c r="H198" i="26"/>
  <c r="H199" i="26"/>
  <c r="H200" i="26"/>
  <c r="H201" i="26"/>
  <c r="H202" i="26"/>
  <c r="H203" i="26"/>
  <c r="H204" i="26"/>
  <c r="H205" i="26"/>
  <c r="H206" i="26"/>
  <c r="H207" i="26"/>
  <c r="H208" i="26"/>
  <c r="H209" i="26"/>
  <c r="H210" i="26"/>
  <c r="H211" i="26"/>
  <c r="H212" i="26"/>
  <c r="H213" i="26"/>
  <c r="H214" i="26"/>
  <c r="H215" i="26"/>
  <c r="H216" i="26"/>
  <c r="H217" i="26"/>
  <c r="H218" i="26"/>
  <c r="H219" i="26"/>
  <c r="H220" i="26"/>
  <c r="H221" i="26"/>
  <c r="H222" i="26"/>
  <c r="H223" i="26"/>
  <c r="H224" i="26"/>
  <c r="H225" i="26"/>
  <c r="H226" i="26"/>
  <c r="H227" i="26"/>
  <c r="H228" i="26"/>
  <c r="H229" i="26"/>
  <c r="H230" i="26"/>
  <c r="H231" i="26"/>
  <c r="H232" i="26"/>
  <c r="H233" i="26"/>
  <c r="H234" i="26"/>
  <c r="H235" i="26"/>
  <c r="H236" i="26"/>
  <c r="H237" i="26"/>
  <c r="H238" i="26"/>
  <c r="H239" i="26"/>
  <c r="H240" i="26"/>
  <c r="H241" i="26"/>
  <c r="H242" i="26"/>
  <c r="H243" i="26"/>
  <c r="H244" i="26"/>
  <c r="H245" i="26"/>
  <c r="H246" i="26"/>
  <c r="H247" i="26"/>
  <c r="H248" i="26"/>
  <c r="H249" i="26"/>
  <c r="H250" i="26"/>
  <c r="H251" i="26"/>
  <c r="H252" i="26"/>
  <c r="H253" i="26"/>
  <c r="H254" i="26"/>
  <c r="H255" i="26"/>
  <c r="H256" i="26"/>
  <c r="H257" i="26"/>
  <c r="H258" i="26"/>
  <c r="H259" i="26"/>
  <c r="H260" i="26"/>
  <c r="H261" i="26"/>
  <c r="H262" i="26"/>
  <c r="H263" i="26"/>
  <c r="H264" i="26"/>
  <c r="H265" i="26"/>
  <c r="H266" i="26"/>
  <c r="H267" i="26"/>
  <c r="H268" i="26"/>
  <c r="H269" i="26"/>
  <c r="H270" i="26"/>
  <c r="H271" i="26"/>
  <c r="H272" i="26"/>
  <c r="H273" i="26"/>
  <c r="H274" i="26"/>
  <c r="H275" i="26"/>
  <c r="H276" i="26"/>
  <c r="H277" i="26"/>
  <c r="H278" i="26"/>
  <c r="H279" i="26"/>
  <c r="H280" i="26"/>
  <c r="H281" i="26"/>
  <c r="H282" i="26"/>
  <c r="H283" i="26"/>
  <c r="H284" i="26"/>
  <c r="H285" i="26"/>
  <c r="H286" i="26"/>
  <c r="H287" i="26"/>
  <c r="H288" i="26"/>
  <c r="H289" i="26"/>
  <c r="H290" i="26"/>
  <c r="H7" i="26"/>
  <c r="V17" i="10" l="1"/>
  <c r="X17" i="10" s="1"/>
  <c r="Y17" i="10" s="1"/>
  <c r="G9" i="22" l="1"/>
  <c r="I20" i="21"/>
  <c r="J20" i="21" s="1"/>
  <c r="H9" i="22" l="1"/>
  <c r="I47" i="21"/>
  <c r="J47" i="21" s="1"/>
  <c r="G28" i="22"/>
  <c r="H28" i="22" s="1"/>
  <c r="I10" i="21"/>
  <c r="J10" i="21" s="1"/>
  <c r="I9" i="21" l="1"/>
  <c r="J9" i="21" s="1"/>
  <c r="I46" i="21"/>
  <c r="J46" i="21" s="1"/>
  <c r="I53" i="21" l="1"/>
  <c r="H8" i="4"/>
  <c r="H9" i="4" s="1"/>
  <c r="I54" i="21" l="1"/>
  <c r="J54" i="21" s="1"/>
  <c r="J53" i="21"/>
  <c r="J19" i="4"/>
  <c r="J16" i="4"/>
  <c r="K14" i="4"/>
  <c r="K19" i="4" l="1"/>
  <c r="H18" i="4"/>
  <c r="I20" i="4"/>
  <c r="H20" i="4" l="1"/>
  <c r="J18" i="4"/>
  <c r="K18" i="4" s="1"/>
  <c r="V13" i="10"/>
  <c r="X13" i="10" s="1"/>
  <c r="Y13" i="10" s="1"/>
  <c r="J4" i="4"/>
  <c r="V12" i="10" l="1"/>
  <c r="J20" i="4"/>
  <c r="K20" i="4" s="1"/>
  <c r="J6" i="4"/>
  <c r="V58" i="10" l="1"/>
  <c r="V95" i="10" s="1"/>
  <c r="X12" i="10"/>
  <c r="Y12" i="10" s="1"/>
  <c r="X58" i="10" l="1"/>
  <c r="X12" i="1"/>
  <c r="Y12" i="1" l="1"/>
  <c r="X71" i="1"/>
  <c r="I5" i="4"/>
  <c r="Y58" i="10"/>
  <c r="Y95" i="10" s="1"/>
  <c r="X95" i="10"/>
  <c r="X74" i="1"/>
  <c r="Y74" i="1" s="1"/>
  <c r="J5" i="4" l="1"/>
  <c r="J7" i="4" s="1"/>
  <c r="I7" i="4"/>
  <c r="I8" i="4" s="1"/>
  <c r="I9" i="4" s="1"/>
  <c r="Y71" i="1"/>
  <c r="G27" i="18"/>
  <c r="G28" i="18" s="1"/>
  <c r="J8" i="4" l="1"/>
  <c r="J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Lorena Muñoz Suazo</author>
  </authors>
  <commentList>
    <comment ref="I3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Claudia Lorena Muñoz Suazo:</t>
        </r>
        <r>
          <rPr>
            <sz val="9"/>
            <color indexed="81"/>
            <rFont val="Tahoma"/>
            <family val="2"/>
          </rPr>
          <t xml:space="preserve">
Incorporar Manualmente Dato desde la columna de efectivo de la Ejecución Presupuestaria.</t>
        </r>
      </text>
    </comment>
    <comment ref="I45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Claudia Lorena Muñoz Suazo:</t>
        </r>
        <r>
          <rPr>
            <sz val="9"/>
            <color indexed="81"/>
            <rFont val="Tahoma"/>
            <family val="2"/>
          </rPr>
          <t xml:space="preserve">
Incorporar Manualmente Dato desde la columna de efectivo de la Ejecución Presupuestaria.</t>
        </r>
      </text>
    </comment>
  </commentList>
</comments>
</file>

<file path=xl/sharedStrings.xml><?xml version="1.0" encoding="utf-8"?>
<sst xmlns="http://schemas.openxmlformats.org/spreadsheetml/2006/main" count="2763" uniqueCount="1452">
  <si>
    <t>Estado de Resultados</t>
  </si>
  <si>
    <t>Miles de Pesos</t>
  </si>
  <si>
    <t>CUENTAS</t>
  </si>
  <si>
    <t>INGRESOS PATRIMONIALES</t>
  </si>
  <si>
    <t>TRANSFERENCIAS RECIBIDAS</t>
  </si>
  <si>
    <t>GASTOS PATRIMONIALES</t>
  </si>
  <si>
    <t>Balance General</t>
  </si>
  <si>
    <t>ACTIVO</t>
  </si>
  <si>
    <t>PASIVO</t>
  </si>
  <si>
    <t>    </t>
  </si>
  <si>
    <t>Recursos Disponibles</t>
  </si>
  <si>
    <t>Disponibilidades en Moneda Nacional</t>
  </si>
  <si>
    <t>Banco Estado</t>
  </si>
  <si>
    <t>Anticipos y Aplicación de Fondos</t>
  </si>
  <si>
    <t>Anticipos a Rendir Cuenta</t>
  </si>
  <si>
    <t>Deudores Presupuestarios</t>
  </si>
  <si>
    <t>C x C Aporte Fiscal</t>
  </si>
  <si>
    <t>Cuentas por Cobrar</t>
  </si>
  <si>
    <t>Deudores por Rendiciones de Cuentas</t>
  </si>
  <si>
    <t>Existencias</t>
  </si>
  <si>
    <t>Materiales de Uso o Consumo</t>
  </si>
  <si>
    <t>Materiales de Oficina</t>
  </si>
  <si>
    <t>Bienes de Uso</t>
  </si>
  <si>
    <t>Bienes de Uso Depreciables</t>
  </si>
  <si>
    <t>Máquinas y Equipos de Oficina</t>
  </si>
  <si>
    <t>Muebles y Enseres</t>
  </si>
  <si>
    <t>Equipos Computacionales y Periféricos</t>
  </si>
  <si>
    <t>Equipos de Comunicaciones para Redes Informáticas</t>
  </si>
  <si>
    <t>Bienes de Uso por Incorporar</t>
  </si>
  <si>
    <t>Mobiliario y Otros</t>
  </si>
  <si>
    <t>Programas Computacionales</t>
  </si>
  <si>
    <t>Depreciación Acumulada</t>
  </si>
  <si>
    <t>Depreciación Acumulada de Muebles y Enseres</t>
  </si>
  <si>
    <t>Depreciación Acumulada de Equipos Computacionales y Periféricos</t>
  </si>
  <si>
    <t>Bienes Intangibles</t>
  </si>
  <si>
    <t>Deuda Corriente</t>
  </si>
  <si>
    <t>Depósitos de Terceros</t>
  </si>
  <si>
    <t>Acreedores Presupuestarios</t>
  </si>
  <si>
    <t>C x P Gastos en Personal</t>
  </si>
  <si>
    <t>C x P Bienes y Servicios de Consumo</t>
  </si>
  <si>
    <t>C x P Adquisición de Activos no Financieros</t>
  </si>
  <si>
    <t>Cuentas por Pagar</t>
  </si>
  <si>
    <t>Deuda Pública Externa</t>
  </si>
  <si>
    <t>Patrimonio Institucional</t>
  </si>
  <si>
    <t>Resultados Acumulados</t>
  </si>
  <si>
    <t>Resultado del Ejercicio</t>
  </si>
  <si>
    <t>Transferencias Corrientes</t>
  </si>
  <si>
    <t>Aporte Fiscal Libre</t>
  </si>
  <si>
    <t>Otros Ingresos Patrimoniales</t>
  </si>
  <si>
    <t>Actualizaciones y Ajustes</t>
  </si>
  <si>
    <t>Actualización de Bienes</t>
  </si>
  <si>
    <t>Gastos Operacionales</t>
  </si>
  <si>
    <t>Gastos en Personal</t>
  </si>
  <si>
    <t>Personal de Planta</t>
  </si>
  <si>
    <t>Sueldos y Sobresueldos</t>
  </si>
  <si>
    <t>Sueldos Bases</t>
  </si>
  <si>
    <t>Asignación Profesional</t>
  </si>
  <si>
    <t>Asignaciones Sustitutivas</t>
  </si>
  <si>
    <t>Aportes del Empleador</t>
  </si>
  <si>
    <t>Otras Cotizaciones Previsionales</t>
  </si>
  <si>
    <t>Asignaciones por Desempeño</t>
  </si>
  <si>
    <t>Desempeño Colectivo</t>
  </si>
  <si>
    <t>Remuneraciones Variables</t>
  </si>
  <si>
    <t>Comisiones de Servicios en el País</t>
  </si>
  <si>
    <t>Comisiones de Servicios en el Exterior</t>
  </si>
  <si>
    <t>Otras Remuneraciones</t>
  </si>
  <si>
    <t>Honorarios a Suma Alzada - Personas Naturales</t>
  </si>
  <si>
    <t>Bienes y Servicios de Consumo</t>
  </si>
  <si>
    <t>Textiles, Vestuario y Calzado</t>
  </si>
  <si>
    <t>Vestuario, Accesorios y Prendas Diversas</t>
  </si>
  <si>
    <t>Combustibles y Lubricantes</t>
  </si>
  <si>
    <t>Para Vehículos</t>
  </si>
  <si>
    <t>Textos y Otros Materiales de Enseñanza</t>
  </si>
  <si>
    <t>Materiales y Útiles de Aseo</t>
  </si>
  <si>
    <t>Insumos, Repuestos y Accesorios Computacionales</t>
  </si>
  <si>
    <t>Otros Materiales de Uso o Consumo</t>
  </si>
  <si>
    <t>Servicios Básicos</t>
  </si>
  <si>
    <t>Electricidad</t>
  </si>
  <si>
    <t>Correo</t>
  </si>
  <si>
    <t>Telefonía Fija</t>
  </si>
  <si>
    <t>Telefonía Celular</t>
  </si>
  <si>
    <t>Enlaces de Telecomunicaciones</t>
  </si>
  <si>
    <t>Mantenimiento y Reparaciones</t>
  </si>
  <si>
    <t>Mantenimiento y Reparación de Edificaciones</t>
  </si>
  <si>
    <t>Mantenimiento y Reparación de Vehículos</t>
  </si>
  <si>
    <t>Mantenimiento y Reparación de Máquinas y Equipos de Oficina</t>
  </si>
  <si>
    <t>Mantenimiento y Reparación de Equipos Informáticos</t>
  </si>
  <si>
    <t>Publicidad y Difusión</t>
  </si>
  <si>
    <t>Servicios de Publicidad</t>
  </si>
  <si>
    <t>Servicios de Impresión</t>
  </si>
  <si>
    <t>Servicios Generales</t>
  </si>
  <si>
    <t>Servicios de Aseo</t>
  </si>
  <si>
    <t>Servicios de Vigilancia</t>
  </si>
  <si>
    <t>Pasajes, Fletes y Bodegajes</t>
  </si>
  <si>
    <t>Servicios de Suscripción y Similares</t>
  </si>
  <si>
    <t>Arriendos</t>
  </si>
  <si>
    <t>Arriendo de Edificios</t>
  </si>
  <si>
    <t>Arriendo de Máquinas y Equipos</t>
  </si>
  <si>
    <t>Otros Arriendos</t>
  </si>
  <si>
    <t>Servicios Financieros y de Seguros</t>
  </si>
  <si>
    <t>Primas y Gastos de Seguros</t>
  </si>
  <si>
    <t>Servicios Técnicos y Profesionales</t>
  </si>
  <si>
    <t>Cursos de Capacitación</t>
  </si>
  <si>
    <t>Otros Servicios Técnicos y Profesionales</t>
  </si>
  <si>
    <t>Otros Gastos en Bienes y Servicios de Consumo</t>
  </si>
  <si>
    <t>Gastos Menores</t>
  </si>
  <si>
    <t>Gastos de Representación, Protocolo y Ceremonial</t>
  </si>
  <si>
    <t>Intereses, Multas y Recargos</t>
  </si>
  <si>
    <t>Otros - Imprevistos</t>
  </si>
  <si>
    <t>Transferencias Otorgadas</t>
  </si>
  <si>
    <t>Otros Gastos Patrimoniales</t>
  </si>
  <si>
    <t>Actualizaciones, Amortizaciones y Otros Ajustes</t>
  </si>
  <si>
    <t>Capítulo V</t>
  </si>
  <si>
    <t>Transaccional</t>
  </si>
  <si>
    <t>Diferencia</t>
  </si>
  <si>
    <t>Estado de Resultado</t>
  </si>
  <si>
    <t>Balance</t>
  </si>
  <si>
    <t>CUENTAS CONTABLES</t>
  </si>
  <si>
    <t>Comparativo</t>
  </si>
  <si>
    <t>Total</t>
  </si>
  <si>
    <t>441</t>
  </si>
  <si>
    <t>443</t>
  </si>
  <si>
    <t>444</t>
  </si>
  <si>
    <t>442</t>
  </si>
  <si>
    <t>453</t>
  </si>
  <si>
    <t>454</t>
  </si>
  <si>
    <t>451</t>
  </si>
  <si>
    <t>433</t>
  </si>
  <si>
    <t>461</t>
  </si>
  <si>
    <t>46301</t>
  </si>
  <si>
    <t>= 521 + 522 + 523</t>
  </si>
  <si>
    <t>521</t>
  </si>
  <si>
    <t>522</t>
  </si>
  <si>
    <t>523</t>
  </si>
  <si>
    <t>531</t>
  </si>
  <si>
    <t>541</t>
  </si>
  <si>
    <t>543</t>
  </si>
  <si>
    <t>544</t>
  </si>
  <si>
    <t>542</t>
  </si>
  <si>
    <t>53214</t>
  </si>
  <si>
    <t>571</t>
  </si>
  <si>
    <t xml:space="preserve">RESULTADO DEL PERIODO </t>
  </si>
  <si>
    <t>= Total Ingresos - Total Gastos</t>
  </si>
  <si>
    <t>1</t>
  </si>
  <si>
    <t>2</t>
  </si>
  <si>
    <t>4</t>
  </si>
  <si>
    <t>5</t>
  </si>
  <si>
    <t>111</t>
  </si>
  <si>
    <t>115</t>
  </si>
  <si>
    <t>12106</t>
  </si>
  <si>
    <t>131</t>
  </si>
  <si>
    <t>141</t>
  </si>
  <si>
    <t>145</t>
  </si>
  <si>
    <t>151</t>
  </si>
  <si>
    <t>161</t>
  </si>
  <si>
    <t>215</t>
  </si>
  <si>
    <t>232</t>
  </si>
  <si>
    <t>53208</t>
  </si>
  <si>
    <t>5320807</t>
  </si>
  <si>
    <t>53209</t>
  </si>
  <si>
    <t>53210</t>
  </si>
  <si>
    <t>53211</t>
  </si>
  <si>
    <t>5321102</t>
  </si>
  <si>
    <t>5321104</t>
  </si>
  <si>
    <t>53212</t>
  </si>
  <si>
    <t>54</t>
  </si>
  <si>
    <t>149</t>
  </si>
  <si>
    <t>3</t>
  </si>
  <si>
    <t>56</t>
  </si>
  <si>
    <t>563</t>
  </si>
  <si>
    <t>11405</t>
  </si>
  <si>
    <t>22192</t>
  </si>
  <si>
    <t>5320601</t>
  </si>
  <si>
    <t>5320604</t>
  </si>
  <si>
    <t>53207</t>
  </si>
  <si>
    <t>5320701</t>
  </si>
  <si>
    <t>5320801</t>
  </si>
  <si>
    <t>5320802</t>
  </si>
  <si>
    <t>5320902</t>
  </si>
  <si>
    <t>5321002</t>
  </si>
  <si>
    <t>5321202</t>
  </si>
  <si>
    <t>5321203</t>
  </si>
  <si>
    <t>5321206</t>
  </si>
  <si>
    <t>31101</t>
  </si>
  <si>
    <t>31102</t>
  </si>
  <si>
    <t>31103</t>
  </si>
  <si>
    <t>Diferencias</t>
  </si>
  <si>
    <t>Asiento de Cierre</t>
  </si>
  <si>
    <t>+</t>
  </si>
  <si>
    <t>=</t>
  </si>
  <si>
    <t xml:space="preserve">Diferencias </t>
  </si>
  <si>
    <t>Capítulo V v/s Transaccional</t>
  </si>
  <si>
    <t>Explicación</t>
  </si>
  <si>
    <t>Monto a Reflejar               (Saldo + Cierre Ejercicio)</t>
  </si>
  <si>
    <t>= 3 + 4</t>
  </si>
  <si>
    <t>= 1 + 6</t>
  </si>
  <si>
    <t>152</t>
  </si>
  <si>
    <t>5320602</t>
  </si>
  <si>
    <t>5320810</t>
  </si>
  <si>
    <t>Fórmula de cálculo</t>
  </si>
  <si>
    <t>ACTIVO CORRIENTE</t>
  </si>
  <si>
    <t>RECURSOS DISPONIBLES</t>
  </si>
  <si>
    <t>BIENES FINANCIEROS</t>
  </si>
  <si>
    <t>ACTIVO NO CORRIENTE</t>
  </si>
  <si>
    <t>Inversiones Financieras</t>
  </si>
  <si>
    <t>Préstamos</t>
  </si>
  <si>
    <t>BIENES DE USO</t>
  </si>
  <si>
    <t>PASIVO CORRIENTE</t>
  </si>
  <si>
    <t>DEUDA CORRIENTE</t>
  </si>
  <si>
    <t>OTRAS DEUDAS</t>
  </si>
  <si>
    <t>Provisiones</t>
  </si>
  <si>
    <t>Otros Pasivos</t>
  </si>
  <si>
    <t>PASIVO NO CORRIENTE</t>
  </si>
  <si>
    <t>Deuda Pública Interna</t>
  </si>
  <si>
    <t>PATRIMONIO DEL ESTADO</t>
  </si>
  <si>
    <t>112</t>
  </si>
  <si>
    <t>12192</t>
  </si>
  <si>
    <t>125</t>
  </si>
  <si>
    <t>132</t>
  </si>
  <si>
    <t>133</t>
  </si>
  <si>
    <t>143</t>
  </si>
  <si>
    <t>144</t>
  </si>
  <si>
    <t>Otros Materiales, Repuestos y Útiles Diversos</t>
  </si>
  <si>
    <t>Equipos Menores</t>
  </si>
  <si>
    <t>Otros Mantenimientos y Reparaciones</t>
  </si>
  <si>
    <t>5320608</t>
  </si>
  <si>
    <t>Traspasos Interdependencias</t>
  </si>
  <si>
    <t>Derechos y Tasas</t>
  </si>
  <si>
    <t>Gastos en Bienes Muebles</t>
  </si>
  <si>
    <t>119</t>
  </si>
  <si>
    <t>219</t>
  </si>
  <si>
    <t>5321205</t>
  </si>
  <si>
    <t>5321401</t>
  </si>
  <si>
    <t>5321404</t>
  </si>
  <si>
    <t>11405 Aplicación de Fondos</t>
  </si>
  <si>
    <t>Capitulo V</t>
  </si>
  <si>
    <t>Patrimonio</t>
  </si>
  <si>
    <t>Cierre de Gestión</t>
  </si>
  <si>
    <t>Activo</t>
  </si>
  <si>
    <t>Pasivo</t>
  </si>
  <si>
    <t>+ -</t>
  </si>
  <si>
    <t>+-</t>
  </si>
  <si>
    <t>Traspasos Interdependencias     (119, 219 y Cierre)</t>
  </si>
  <si>
    <t>6</t>
  </si>
  <si>
    <t>7</t>
  </si>
  <si>
    <t>Saldo Cuenta Contable 31103 al 31/12</t>
  </si>
  <si>
    <t>561</t>
  </si>
  <si>
    <t>Ecuación del Inventario</t>
  </si>
  <si>
    <t>-</t>
  </si>
  <si>
    <t>Montos</t>
  </si>
  <si>
    <t>Ingresos</t>
  </si>
  <si>
    <t>Gastos</t>
  </si>
  <si>
    <t xml:space="preserve">Ecuación del Inventario                                       (Activo + Pasivo + Patrimonio + Cierre Gestión) </t>
  </si>
  <si>
    <t>= 5 - 6</t>
  </si>
  <si>
    <t>Personal a Contrata</t>
  </si>
  <si>
    <t>Transferencias Corrientes a Otras Entidades Públicas</t>
  </si>
  <si>
    <t>533</t>
  </si>
  <si>
    <t>54103</t>
  </si>
  <si>
    <t>562</t>
  </si>
  <si>
    <t>Cuadratura</t>
  </si>
  <si>
    <t>Resultado Ejercicio</t>
  </si>
  <si>
    <t>Diferencia Patrimonio Final Estado de Cambio</t>
  </si>
  <si>
    <t>Saldo Final Patrimonio Balance Comprobación</t>
  </si>
  <si>
    <t>Validación</t>
  </si>
  <si>
    <t>PATRIMONIO FINAL</t>
  </si>
  <si>
    <t>MÁS:</t>
  </si>
  <si>
    <t>VARIACIÓN NETA DEL PATRIMONIO</t>
  </si>
  <si>
    <t>Fórmula de Cálculo</t>
  </si>
  <si>
    <t>Estado de Cambios en el Patrimonio Neto</t>
  </si>
  <si>
    <t>NOMBRE DE LA ENTIDAD:</t>
  </si>
  <si>
    <t>Estado de Flujos de Efectivo</t>
  </si>
  <si>
    <t>Estado de Variación de Fondos No Presupuestarios</t>
  </si>
  <si>
    <t>VARIACIÓN DE FONDOS NO PRESUPUESTARIOS</t>
  </si>
  <si>
    <t>Alumnos en Práctica</t>
  </si>
  <si>
    <t>Calzado</t>
  </si>
  <si>
    <t>11</t>
  </si>
  <si>
    <t>11102</t>
  </si>
  <si>
    <t>114</t>
  </si>
  <si>
    <t>11403</t>
  </si>
  <si>
    <t>11498</t>
  </si>
  <si>
    <t>11505</t>
  </si>
  <si>
    <t>11509</t>
  </si>
  <si>
    <t>11604</t>
  </si>
  <si>
    <t>121</t>
  </si>
  <si>
    <t>14</t>
  </si>
  <si>
    <t>14104</t>
  </si>
  <si>
    <t>14106</t>
  </si>
  <si>
    <t>14108</t>
  </si>
  <si>
    <t>14906</t>
  </si>
  <si>
    <t>21</t>
  </si>
  <si>
    <t>214</t>
  </si>
  <si>
    <t>21498</t>
  </si>
  <si>
    <t>21521</t>
  </si>
  <si>
    <t>21522</t>
  </si>
  <si>
    <t>21529</t>
  </si>
  <si>
    <t>21601</t>
  </si>
  <si>
    <t>21604</t>
  </si>
  <si>
    <t>221</t>
  </si>
  <si>
    <t>44</t>
  </si>
  <si>
    <t>44301</t>
  </si>
  <si>
    <t>4430101</t>
  </si>
  <si>
    <t>4430102</t>
  </si>
  <si>
    <t>46</t>
  </si>
  <si>
    <t>463</t>
  </si>
  <si>
    <t>511</t>
  </si>
  <si>
    <t>53</t>
  </si>
  <si>
    <t>53101</t>
  </si>
  <si>
    <t>5310101</t>
  </si>
  <si>
    <t>531010101</t>
  </si>
  <si>
    <t>531010103</t>
  </si>
  <si>
    <t>531010115</t>
  </si>
  <si>
    <t>5310102</t>
  </si>
  <si>
    <t>5310103</t>
  </si>
  <si>
    <t>5310104</t>
  </si>
  <si>
    <t>531010406</t>
  </si>
  <si>
    <t>531010407</t>
  </si>
  <si>
    <t>53102</t>
  </si>
  <si>
    <t>5310204</t>
  </si>
  <si>
    <t>531020406</t>
  </si>
  <si>
    <t>53103</t>
  </si>
  <si>
    <t>5310301</t>
  </si>
  <si>
    <t>532</t>
  </si>
  <si>
    <t>53202</t>
  </si>
  <si>
    <t>5320202</t>
  </si>
  <si>
    <t>53203</t>
  </si>
  <si>
    <t>5320301</t>
  </si>
  <si>
    <t>53204</t>
  </si>
  <si>
    <t>5320401</t>
  </si>
  <si>
    <t>5320407</t>
  </si>
  <si>
    <t>5320409</t>
  </si>
  <si>
    <t>5320413</t>
  </si>
  <si>
    <t>5320499</t>
  </si>
  <si>
    <t>53205</t>
  </si>
  <si>
    <t>5320505</t>
  </si>
  <si>
    <t>5320506</t>
  </si>
  <si>
    <t>5320508</t>
  </si>
  <si>
    <t>53206</t>
  </si>
  <si>
    <t>14908</t>
  </si>
  <si>
    <t>531010202</t>
  </si>
  <si>
    <t>531020407</t>
  </si>
  <si>
    <t>5320501</t>
  </si>
  <si>
    <t>11601</t>
  </si>
  <si>
    <t>11605</t>
  </si>
  <si>
    <t>113</t>
  </si>
  <si>
    <t>11602</t>
  </si>
  <si>
    <t>153</t>
  </si>
  <si>
    <t>Saldos</t>
  </si>
  <si>
    <t>411</t>
  </si>
  <si>
    <t>421</t>
  </si>
  <si>
    <t>= 2 + 5</t>
  </si>
  <si>
    <t>Total Ingresos (Saldos Cuentas 4)</t>
  </si>
  <si>
    <t>Total Gastos (Saldos Cuentas 5)</t>
  </si>
  <si>
    <t>BALANCE DE COMPROBACIÓN Y SALDOS</t>
  </si>
  <si>
    <t>CODIGO</t>
  </si>
  <si>
    <t>DENOMINACION</t>
  </si>
  <si>
    <t>SALDO INICIAL</t>
  </si>
  <si>
    <t>DEBITOS</t>
  </si>
  <si>
    <t>CREDITOS</t>
  </si>
  <si>
    <t>SALDO FINAL</t>
  </si>
  <si>
    <t>Intermediación de Fondos</t>
  </si>
  <si>
    <t>Administración de Fondos</t>
  </si>
  <si>
    <t>C x P Transferencias Corrientes</t>
  </si>
  <si>
    <t>Transferencias  Recibidas</t>
  </si>
  <si>
    <t>Remuneraciones</t>
  </si>
  <si>
    <t>Resto</t>
  </si>
  <si>
    <t>Agua</t>
  </si>
  <si>
    <t>Gas</t>
  </si>
  <si>
    <t>Acceso a Internet</t>
  </si>
  <si>
    <t>Mantenimiento y Reparación Mobiliario y Otros</t>
  </si>
  <si>
    <t>Arriendo de Vehículos</t>
  </si>
  <si>
    <t>TOTAL</t>
  </si>
  <si>
    <t>11902</t>
  </si>
  <si>
    <t>21524</t>
  </si>
  <si>
    <t>5320502</t>
  </si>
  <si>
    <t>5320507</t>
  </si>
  <si>
    <t>5320603</t>
  </si>
  <si>
    <t>5320903</t>
  </si>
  <si>
    <t>11501</t>
  </si>
  <si>
    <t>11504</t>
  </si>
  <si>
    <t>11506</t>
  </si>
  <si>
    <t>11507</t>
  </si>
  <si>
    <t>11508</t>
  </si>
  <si>
    <t>11513</t>
  </si>
  <si>
    <t>21523</t>
  </si>
  <si>
    <t>21525</t>
  </si>
  <si>
    <t>21526</t>
  </si>
  <si>
    <t>21527</t>
  </si>
  <si>
    <t>21528</t>
  </si>
  <si>
    <t>21533</t>
  </si>
  <si>
    <t>11511</t>
  </si>
  <si>
    <t>11510</t>
  </si>
  <si>
    <t>11512</t>
  </si>
  <si>
    <t>21530</t>
  </si>
  <si>
    <t>21531</t>
  </si>
  <si>
    <t>21532</t>
  </si>
  <si>
    <t>11514</t>
  </si>
  <si>
    <t>53303</t>
  </si>
  <si>
    <t>53302</t>
  </si>
  <si>
    <t>53304</t>
  </si>
  <si>
    <t>23109</t>
  </si>
  <si>
    <t>23101</t>
  </si>
  <si>
    <t>23102</t>
  </si>
  <si>
    <t>23103</t>
  </si>
  <si>
    <t>23104</t>
  </si>
  <si>
    <t>116</t>
  </si>
  <si>
    <t>11901</t>
  </si>
  <si>
    <t>216</t>
  </si>
  <si>
    <t>21901</t>
  </si>
  <si>
    <t/>
  </si>
  <si>
    <t>Saldo Inicial</t>
  </si>
  <si>
    <t>Debitos</t>
  </si>
  <si>
    <t>Creditos</t>
  </si>
  <si>
    <t>Saldo Final</t>
  </si>
  <si>
    <t>0</t>
  </si>
  <si>
    <t>Deudores por Gastos Pagados en Exceso</t>
  </si>
  <si>
    <t>Ajustes a Disponibilidades</t>
  </si>
  <si>
    <t>14904</t>
  </si>
  <si>
    <t>Depreciación Acumulada de Máquinas y Equipos de Of</t>
  </si>
  <si>
    <t>Depreciación Acumulada de Equipos Computacionales</t>
  </si>
  <si>
    <t>Acreedores por Ingresos Percibidos en Exceso</t>
  </si>
  <si>
    <t>Documentos Caducados</t>
  </si>
  <si>
    <t>PATRIMONIO</t>
  </si>
  <si>
    <t>31</t>
  </si>
  <si>
    <t>Patrimonio del Estado</t>
  </si>
  <si>
    <t>311</t>
  </si>
  <si>
    <t>Patrimonio del Gobierno General</t>
  </si>
  <si>
    <t>531010102</t>
  </si>
  <si>
    <t>Asignación de Antigüedad</t>
  </si>
  <si>
    <t>531010107</t>
  </si>
  <si>
    <t>Asignaciones del DL N°. de</t>
  </si>
  <si>
    <t>531010112</t>
  </si>
  <si>
    <t>Gastos de Representación</t>
  </si>
  <si>
    <t>531010113</t>
  </si>
  <si>
    <t>Asignación de Dirección Superior</t>
  </si>
  <si>
    <t>531010114</t>
  </si>
  <si>
    <t>Asignaciones Compensatorias</t>
  </si>
  <si>
    <t>531010122</t>
  </si>
  <si>
    <t>Componente Base Asignación de Desempeño</t>
  </si>
  <si>
    <t>531010301</t>
  </si>
  <si>
    <t>Desempeño Institucional</t>
  </si>
  <si>
    <t>531010404</t>
  </si>
  <si>
    <t>Asignación por Desempeño de Funciones Críticas</t>
  </si>
  <si>
    <t>5310105</t>
  </si>
  <si>
    <t>Aguinaldos y Bonos</t>
  </si>
  <si>
    <t>531010501</t>
  </si>
  <si>
    <t>Aguinaldos</t>
  </si>
  <si>
    <t>531010502</t>
  </si>
  <si>
    <t>Bono de Escolaridad</t>
  </si>
  <si>
    <t>531010503</t>
  </si>
  <si>
    <t>Bonos Especiales</t>
  </si>
  <si>
    <t>5310201</t>
  </si>
  <si>
    <t>531020101</t>
  </si>
  <si>
    <t>531020102</t>
  </si>
  <si>
    <t>531020103</t>
  </si>
  <si>
    <t>531020114</t>
  </si>
  <si>
    <t>531020121</t>
  </si>
  <si>
    <t>5310202</t>
  </si>
  <si>
    <t>531020202</t>
  </si>
  <si>
    <t>5310203</t>
  </si>
  <si>
    <t>531020301</t>
  </si>
  <si>
    <t>5310205</t>
  </si>
  <si>
    <t>531020501</t>
  </si>
  <si>
    <t>531020502</t>
  </si>
  <si>
    <t>531020503</t>
  </si>
  <si>
    <t>Mantenimiento y Reparación de Máquinas y Equipos d</t>
  </si>
  <si>
    <t>5320899</t>
  </si>
  <si>
    <t>Otros Servicios Generales</t>
  </si>
  <si>
    <t>54101</t>
  </si>
  <si>
    <t>Transferencias Corrientes al Sector Privado</t>
  </si>
  <si>
    <t>Transferencias Corrientes a Otras Entidades Públic</t>
  </si>
  <si>
    <t xml:space="preserve">Cuadratura de Balance Transaccional </t>
  </si>
  <si>
    <t xml:space="preserve">Resultado del Ejercicio   </t>
  </si>
  <si>
    <t xml:space="preserve">Cuadratura de Balance  </t>
  </si>
  <si>
    <t>= Variación Neta del Efectivo</t>
  </si>
  <si>
    <t>= VFP + VFNP</t>
  </si>
  <si>
    <t>Anticipos a Proveedores</t>
  </si>
  <si>
    <t>Programa Bienes y Servicios</t>
  </si>
  <si>
    <t>Fondos a Rendir</t>
  </si>
  <si>
    <t>Anticipo a Proveedores</t>
  </si>
  <si>
    <t>Anticipo Viático Nacional</t>
  </si>
  <si>
    <t>Programa Voluntarios Seniors</t>
  </si>
  <si>
    <t>Programa Vínculos</t>
  </si>
  <si>
    <t>Programa de Escuela de Formación para dirigentes Mayores</t>
  </si>
  <si>
    <t>Fondo Nacional del Adulto Mayor</t>
  </si>
  <si>
    <t>Viáticos Internacionales</t>
  </si>
  <si>
    <t>Programa Fondo de Atención al Adulto Mayor</t>
  </si>
  <si>
    <t>Programa contra la Violencia y Abuso del Adulto Mayor</t>
  </si>
  <si>
    <t>Aplicación de Fondos en Administración</t>
  </si>
  <si>
    <t>C x C Otros Ingresos Corrientes</t>
  </si>
  <si>
    <t>Remesas Otorgadas</t>
  </si>
  <si>
    <t>Bienes Financieros</t>
  </si>
  <si>
    <t>Deudores</t>
  </si>
  <si>
    <t>Remuneraciones en Exceso</t>
  </si>
  <si>
    <t>Remuneraciones en Exceso Contrata</t>
  </si>
  <si>
    <t>Remuneraciones en Exceso Honorarios</t>
  </si>
  <si>
    <t>Deudores por Transferencias Corrientes al Sector Privado</t>
  </si>
  <si>
    <t>Consejo Nacional de Proteccion a la Ancianidad</t>
  </si>
  <si>
    <t>Deudores por Transferencias Corrientes a Otras Entidades Públicas</t>
  </si>
  <si>
    <t>Fondo Nacional Del Adulto Mayor</t>
  </si>
  <si>
    <t>PIIAM BID</t>
  </si>
  <si>
    <t>Programa de Escuelas de Formación para Dirigentes Mayores</t>
  </si>
  <si>
    <t>Programa Turismo Social para el Adulto Mayor</t>
  </si>
  <si>
    <t>Bienes de Consumo y Cambio</t>
  </si>
  <si>
    <t>Vehículos</t>
  </si>
  <si>
    <t>Depreciación Acumulada de Máquinas y Equipos de Oficina</t>
  </si>
  <si>
    <t>Depreciación Acumulada de Vehículos</t>
  </si>
  <si>
    <t>Depreciación Acumulada de Equipos de Comunicaciones para Redes Informáticas</t>
  </si>
  <si>
    <t>Otros Activos</t>
  </si>
  <si>
    <t>Sistemas de Información</t>
  </si>
  <si>
    <t>Amortización Acumulada de Bienes Intangibles</t>
  </si>
  <si>
    <t>Amortización Acumulada de Programas Computacionales</t>
  </si>
  <si>
    <t>Amortización Acumulada de Sistemas de Información</t>
  </si>
  <si>
    <t>Anticipos de Clientes</t>
  </si>
  <si>
    <t>Servicio de Asistencia Técnica P.I.A.M. Chile Solidario</t>
  </si>
  <si>
    <t>C x P Servicio de la Deuda</t>
  </si>
  <si>
    <t>Remesas Recibidas</t>
  </si>
  <si>
    <t>Otras Deudas</t>
  </si>
  <si>
    <t>Cuentas por Pagar de Gastos Presupuestarios</t>
  </si>
  <si>
    <t>Deuda Pública</t>
  </si>
  <si>
    <t>Empréstitos de Organismos Gubernamentales</t>
  </si>
  <si>
    <t>Recuperaciones y Reembolsos por Licencias Médicas</t>
  </si>
  <si>
    <t>Otros Ingresos</t>
  </si>
  <si>
    <t>Otros</t>
  </si>
  <si>
    <t>Ajustes a los Ingresos Patrimoniales de Años Anteriores</t>
  </si>
  <si>
    <t>Asignación de Zona</t>
  </si>
  <si>
    <t>Asignaciones del DL N°3.551 de 1981</t>
  </si>
  <si>
    <t>Asignación Zonas Extremas</t>
  </si>
  <si>
    <t>Asignación de Responsabilidad Superior</t>
  </si>
  <si>
    <t>A Servicios de Bienestar</t>
  </si>
  <si>
    <t>Bonificación Adicional al Bono de Escolaridad</t>
  </si>
  <si>
    <t>Asignaciones del DL N° 3.551, de 1981</t>
  </si>
  <si>
    <t>Trabajos Extraordinarios</t>
  </si>
  <si>
    <t>Suplencias y Reemplazos</t>
  </si>
  <si>
    <t>Para Calefacción</t>
  </si>
  <si>
    <t>Otros Servicios de Publicidad y Difusión</t>
  </si>
  <si>
    <t>Servicios de Mantención de Jardines</t>
  </si>
  <si>
    <t>Salas Cunas y/o Jardines Infantiles</t>
  </si>
  <si>
    <t>Otros Servicios Financieros y de Seguros</t>
  </si>
  <si>
    <t>Contribuciones</t>
  </si>
  <si>
    <t>Gastos por Leasing</t>
  </si>
  <si>
    <t>Consejo Nacional de Protección a la Ancianidad</t>
  </si>
  <si>
    <t>Programa de Escuelas de Formación Para Dirigentes Mayores</t>
  </si>
  <si>
    <t>Fondos Servicios de Atención al Adulto Mayor</t>
  </si>
  <si>
    <t>Programa contra la violencia y el abuso del Adulto Mayor</t>
  </si>
  <si>
    <t>Transferencias Corrientes a Organismos Internacionales</t>
  </si>
  <si>
    <t>Organización Iberoamericana de Seguridad Social (OISS)</t>
  </si>
  <si>
    <t>Balance de Comprobación y Saldos</t>
  </si>
  <si>
    <t>Cuenta</t>
  </si>
  <si>
    <t>11401</t>
  </si>
  <si>
    <t>1140302</t>
  </si>
  <si>
    <t>1140303</t>
  </si>
  <si>
    <t>13</t>
  </si>
  <si>
    <t>13103</t>
  </si>
  <si>
    <t>1310301</t>
  </si>
  <si>
    <t>14105</t>
  </si>
  <si>
    <t>14109</t>
  </si>
  <si>
    <t>14905</t>
  </si>
  <si>
    <t>15</t>
  </si>
  <si>
    <t>15101</t>
  </si>
  <si>
    <t>15201</t>
  </si>
  <si>
    <t>21405</t>
  </si>
  <si>
    <t>21534</t>
  </si>
  <si>
    <t>22</t>
  </si>
  <si>
    <t>46101</t>
  </si>
  <si>
    <t>4610102</t>
  </si>
  <si>
    <t>46104</t>
  </si>
  <si>
    <t>4610499</t>
  </si>
  <si>
    <t>531010139</t>
  </si>
  <si>
    <t>531010201</t>
  </si>
  <si>
    <t>531010302</t>
  </si>
  <si>
    <t>531010405</t>
  </si>
  <si>
    <t>531010504</t>
  </si>
  <si>
    <t>531020107</t>
  </si>
  <si>
    <t>531020113</t>
  </si>
  <si>
    <t>531020201</t>
  </si>
  <si>
    <t>531020302</t>
  </si>
  <si>
    <t>531020405</t>
  </si>
  <si>
    <t>531020504</t>
  </si>
  <si>
    <t>5310305</t>
  </si>
  <si>
    <t>5320201</t>
  </si>
  <si>
    <t>5320411</t>
  </si>
  <si>
    <t>5320412</t>
  </si>
  <si>
    <t>5320503</t>
  </si>
  <si>
    <t>5320504</t>
  </si>
  <si>
    <t>5320607</t>
  </si>
  <si>
    <t>5320702</t>
  </si>
  <si>
    <t>5320808</t>
  </si>
  <si>
    <t>5320905</t>
  </si>
  <si>
    <t>5320907</t>
  </si>
  <si>
    <t>5321099</t>
  </si>
  <si>
    <t>5321101</t>
  </si>
  <si>
    <t>5321208</t>
  </si>
  <si>
    <t>5321402</t>
  </si>
  <si>
    <t>Amortización Acumulada de Programas Computacionale</t>
  </si>
  <si>
    <t>Recuperaciones Art.   Ley N° . y Ley N° .</t>
  </si>
  <si>
    <t>Asignaciones del DL N° ., de</t>
  </si>
  <si>
    <t>Textiles y Acabados Textiles</t>
  </si>
  <si>
    <t>Repuestos y Accesorios para Mantenimiento y Repara</t>
  </si>
  <si>
    <t>Estudios e Investigaciones</t>
  </si>
  <si>
    <t>341</t>
  </si>
  <si>
    <t>60</t>
  </si>
  <si>
    <t>524</t>
  </si>
  <si>
    <t>150</t>
  </si>
  <si>
    <t>580</t>
  </si>
  <si>
    <t>353</t>
  </si>
  <si>
    <t>424</t>
  </si>
  <si>
    <t>218</t>
  </si>
  <si>
    <t>87</t>
  </si>
  <si>
    <t>884</t>
  </si>
  <si>
    <t>546</t>
  </si>
  <si>
    <t>269</t>
  </si>
  <si>
    <t>71</t>
  </si>
  <si>
    <t>76</t>
  </si>
  <si>
    <t>32</t>
  </si>
  <si>
    <t>117</t>
  </si>
  <si>
    <t>100</t>
  </si>
  <si>
    <t>217</t>
  </si>
  <si>
    <t>26</t>
  </si>
  <si>
    <t>907</t>
  </si>
  <si>
    <t>(14)</t>
  </si>
  <si>
    <t>423</t>
  </si>
  <si>
    <t>259</t>
  </si>
  <si>
    <t>165</t>
  </si>
  <si>
    <t>383</t>
  </si>
  <si>
    <t>185</t>
  </si>
  <si>
    <t>208</t>
  </si>
  <si>
    <t>707</t>
  </si>
  <si>
    <t>431</t>
  </si>
  <si>
    <t>420</t>
  </si>
  <si>
    <t>438</t>
  </si>
  <si>
    <t>910</t>
  </si>
  <si>
    <t>859</t>
  </si>
  <si>
    <t>607</t>
  </si>
  <si>
    <t>594</t>
  </si>
  <si>
    <t>12</t>
  </si>
  <si>
    <t>401</t>
  </si>
  <si>
    <t>78</t>
  </si>
  <si>
    <t>61</t>
  </si>
  <si>
    <t>17</t>
  </si>
  <si>
    <t>578</t>
  </si>
  <si>
    <t>59</t>
  </si>
  <si>
    <t>863</t>
  </si>
  <si>
    <t>238</t>
  </si>
  <si>
    <t>278</t>
  </si>
  <si>
    <t>88</t>
  </si>
  <si>
    <t>190</t>
  </si>
  <si>
    <t>45</t>
  </si>
  <si>
    <t>176</t>
  </si>
  <si>
    <t>685</t>
  </si>
  <si>
    <t>712</t>
  </si>
  <si>
    <t>888</t>
  </si>
  <si>
    <t>670</t>
  </si>
  <si>
    <t>386</t>
  </si>
  <si>
    <t>243</t>
  </si>
  <si>
    <t>823</t>
  </si>
  <si>
    <t>921</t>
  </si>
  <si>
    <t>731</t>
  </si>
  <si>
    <t>361</t>
  </si>
  <si>
    <t>(12)</t>
  </si>
  <si>
    <t>(640)</t>
  </si>
  <si>
    <t>(75)</t>
  </si>
  <si>
    <t>419</t>
  </si>
  <si>
    <t>182</t>
  </si>
  <si>
    <t>367</t>
  </si>
  <si>
    <t>488</t>
  </si>
  <si>
    <t>395</t>
  </si>
  <si>
    <t>468</t>
  </si>
  <si>
    <t>286</t>
  </si>
  <si>
    <t xml:space="preserve">2108 Servicio Nacional del Adulto Mayor </t>
  </si>
  <si>
    <t>01 junio 2012 al 31 diciembre 2012</t>
  </si>
  <si>
    <t>Nacional - Miles</t>
  </si>
  <si>
    <t>2108 Servicio Nacional del Adulto Mayor</t>
  </si>
  <si>
    <t>Desde: Enero Hasta: Mayo del a o 2012</t>
  </si>
  <si>
    <t>Todos</t>
  </si>
  <si>
    <t>Tipo Movimiento:</t>
  </si>
  <si>
    <t>Moneda:</t>
  </si>
  <si>
    <t>Recuperaciones Art. 12  Ley N° 18.196 y Ley N° 19.117 Art. Único.</t>
  </si>
  <si>
    <t xml:space="preserve">Formato Valores: </t>
  </si>
  <si>
    <t>1140301</t>
  </si>
  <si>
    <t>1140304</t>
  </si>
  <si>
    <t>1140310</t>
  </si>
  <si>
    <t>1140311</t>
  </si>
  <si>
    <t>1140318</t>
  </si>
  <si>
    <t>1140319</t>
  </si>
  <si>
    <t>1140320</t>
  </si>
  <si>
    <t>1140321</t>
  </si>
  <si>
    <t>1140322</t>
  </si>
  <si>
    <t>12101</t>
  </si>
  <si>
    <t>1210102</t>
  </si>
  <si>
    <t>121010202</t>
  </si>
  <si>
    <t>1210103</t>
  </si>
  <si>
    <t>121010301</t>
  </si>
  <si>
    <t>1210601</t>
  </si>
  <si>
    <t>121060102</t>
  </si>
  <si>
    <t>1210603</t>
  </si>
  <si>
    <t>121060301</t>
  </si>
  <si>
    <t>121060305</t>
  </si>
  <si>
    <t>121060306</t>
  </si>
  <si>
    <t>121060308</t>
  </si>
  <si>
    <t>121060310</t>
  </si>
  <si>
    <t>13104</t>
  </si>
  <si>
    <t>1310407</t>
  </si>
  <si>
    <t>14909</t>
  </si>
  <si>
    <t>15102</t>
  </si>
  <si>
    <t>15202</t>
  </si>
  <si>
    <t>21401</t>
  </si>
  <si>
    <t>2140110</t>
  </si>
  <si>
    <t>2140112</t>
  </si>
  <si>
    <t>23</t>
  </si>
  <si>
    <t>23203</t>
  </si>
  <si>
    <t>46367</t>
  </si>
  <si>
    <t>531010104</t>
  </si>
  <si>
    <t>531010138</t>
  </si>
  <si>
    <t>531020104</t>
  </si>
  <si>
    <t>531020137</t>
  </si>
  <si>
    <t>531020404</t>
  </si>
  <si>
    <t>5310307</t>
  </si>
  <si>
    <t>5320203</t>
  </si>
  <si>
    <t>5320303</t>
  </si>
  <si>
    <t>5320402</t>
  </si>
  <si>
    <t>5320799</t>
  </si>
  <si>
    <t>5320803</t>
  </si>
  <si>
    <t>5321204</t>
  </si>
  <si>
    <t>53213</t>
  </si>
  <si>
    <t>5321304</t>
  </si>
  <si>
    <t>5410101</t>
  </si>
  <si>
    <t>5410301</t>
  </si>
  <si>
    <t>5410306</t>
  </si>
  <si>
    <t>5410308</t>
  </si>
  <si>
    <t>5410316</t>
  </si>
  <si>
    <t>5410317</t>
  </si>
  <si>
    <t>54107</t>
  </si>
  <si>
    <t>5410701</t>
  </si>
  <si>
    <t>121060307</t>
  </si>
  <si>
    <t>121060311</t>
  </si>
  <si>
    <t>1310401</t>
  </si>
  <si>
    <t>1310402</t>
  </si>
  <si>
    <t>14404</t>
  </si>
  <si>
    <t>14501</t>
  </si>
  <si>
    <t>1450101</t>
  </si>
  <si>
    <t>145010101</t>
  </si>
  <si>
    <t>1450102</t>
  </si>
  <si>
    <t>145010201</t>
  </si>
  <si>
    <t>Amortización</t>
  </si>
  <si>
    <t>44403</t>
  </si>
  <si>
    <t>4440301</t>
  </si>
  <si>
    <t>4440302</t>
  </si>
  <si>
    <t>Intereses</t>
  </si>
  <si>
    <t>5320703</t>
  </si>
  <si>
    <t>5321306</t>
  </si>
  <si>
    <t>5330202</t>
  </si>
  <si>
    <t>5410307</t>
  </si>
  <si>
    <t>56321</t>
  </si>
  <si>
    <t>56341</t>
  </si>
  <si>
    <t>Programas Bienes y Servicios</t>
  </si>
  <si>
    <t>Programa de Escuela de Formación para dirigentes M</t>
  </si>
  <si>
    <t>Programa contra la violencia y el abuso del Adulto</t>
  </si>
  <si>
    <t>Deudores por Transferencias Corrientes al Sector P</t>
  </si>
  <si>
    <t>Deudores por Transferencias Corrientes a Otras Ent</t>
  </si>
  <si>
    <t>Programa de Escuelas de Formación para Dirigentes</t>
  </si>
  <si>
    <t>Escuela para Funcionarios Públicos</t>
  </si>
  <si>
    <t>Bienes de Uso en Leasing</t>
  </si>
  <si>
    <t>Equipos Computacionales y Periféricos en Leasing</t>
  </si>
  <si>
    <t>Bienes de Uso en Tránsito</t>
  </si>
  <si>
    <t>Bienes de Uso Importados</t>
  </si>
  <si>
    <t>Bienes de Uso Nacionales</t>
  </si>
  <si>
    <t>Depreciación Acumulada de Equipos de Comunicacione</t>
  </si>
  <si>
    <t>Servicio de Asistencia Técnica P.I.A.M. Chile Soli</t>
  </si>
  <si>
    <t>Aporte Fiscal para el Servicio de la Deuda</t>
  </si>
  <si>
    <t>Servicio de la Deuda Externa</t>
  </si>
  <si>
    <t>Ajustes a los Ingresos Patrimoniales de Años Anter</t>
  </si>
  <si>
    <t>Servicios de Encuadernación y Empaste</t>
  </si>
  <si>
    <t>Gastos Financieros</t>
  </si>
  <si>
    <t>Intereses Deuda  Externa</t>
  </si>
  <si>
    <t>Por Empréstitos</t>
  </si>
  <si>
    <t>Programa de Escuelas de Formación Para Dirigentes</t>
  </si>
  <si>
    <t>Transferencias Corrientes a Organismos Internacion</t>
  </si>
  <si>
    <t>Organización Iberoamericana de Seguridad Social (O</t>
  </si>
  <si>
    <t>Depreciación de Bienes de Uso</t>
  </si>
  <si>
    <t>Amortización de  Bienes Intangibles</t>
  </si>
  <si>
    <t>TOTAL ACTIVOS</t>
  </si>
  <si>
    <t>TOTAL PASIVOS</t>
  </si>
  <si>
    <t>Valida Saldo Inicial (SF May - SI Jun)</t>
  </si>
  <si>
    <t>PRESTACIONES DE SEGURIDAD SOCIAL</t>
  </si>
  <si>
    <t>TRANSFERENCIAS OTORGADAS</t>
  </si>
  <si>
    <t>VARIACIÓN NETA DIRECTA DEL PATRIMONIO</t>
  </si>
  <si>
    <t>PATRIMONIO INICIAL</t>
  </si>
  <si>
    <t>Cuentas Contables Saldos</t>
  </si>
  <si>
    <t>53301</t>
  </si>
  <si>
    <t>14101</t>
  </si>
  <si>
    <t>Estado de Situación Presupuestaria</t>
  </si>
  <si>
    <t>AGREGADO</t>
  </si>
  <si>
    <t>Miles</t>
  </si>
  <si>
    <t>Moneda Nacional</t>
  </si>
  <si>
    <t>INGRESOS</t>
  </si>
  <si>
    <t>EJECUCIÓN</t>
  </si>
  <si>
    <t>DEVENGADO</t>
  </si>
  <si>
    <t>EFECTIVO</t>
  </si>
  <si>
    <t>01 IMPUESTOS</t>
  </si>
  <si>
    <t>04 IMPOSICIONES PREVISIONALES</t>
  </si>
  <si>
    <t>05 TRANSFERENCIAS CORRIENTES</t>
  </si>
  <si>
    <t>06 RENTAS DE LA PROPIEDAD</t>
  </si>
  <si>
    <t>07 INGRESOS DE OPERACIÓN</t>
  </si>
  <si>
    <t>09 APORTE FISCAL</t>
  </si>
  <si>
    <t>10 VENTA DE ACTIVOS NO FINANCIEROS</t>
  </si>
  <si>
    <t>11 VENTA DE ACTIVOS FINANCIEROS</t>
  </si>
  <si>
    <t>12 RECUPERACIÓN DE PRESTAMOS</t>
  </si>
  <si>
    <t>13 TRANSFERENCIAS DE GASTOS DE CAPITAL</t>
  </si>
  <si>
    <t>14 ENDEUDAMIENTO</t>
  </si>
  <si>
    <t>SUBTOTALES</t>
  </si>
  <si>
    <t>15 SALDO INICIAL DE CAJA</t>
  </si>
  <si>
    <t>TOTALES</t>
  </si>
  <si>
    <t>GASTOS</t>
  </si>
  <si>
    <t>21 GASTOS EN PERSONAL</t>
  </si>
  <si>
    <t>22 BIENES Y SERVICIOS DE CONSUMO</t>
  </si>
  <si>
    <t>23 PRESTACIONES DE SEGURIDAD SOCIAL</t>
  </si>
  <si>
    <t>24 TRANSFERENCIAS CORRIENTES</t>
  </si>
  <si>
    <t>26 OTROS GASTOS CORRIENTES</t>
  </si>
  <si>
    <t>27 APORTE FISCAL LIBRE</t>
  </si>
  <si>
    <t>29 ADQUISICIÓN DE ACTIVOS NO FINANCIEROS</t>
  </si>
  <si>
    <t>30 ADQUISICIÓN DE ACTIVOS FINANCIEROS</t>
  </si>
  <si>
    <t>32 PRÉSTAMOS</t>
  </si>
  <si>
    <t>33 TRANSFERENCIAS DE CAPITAL</t>
  </si>
  <si>
    <t>34 SERVICIOS DE LA DEUDA</t>
  </si>
  <si>
    <t>35 SALDO FINAL DE CAJA</t>
  </si>
  <si>
    <t>14201</t>
  </si>
  <si>
    <t>14107</t>
  </si>
  <si>
    <t>Venta de Bienes de Uso</t>
  </si>
  <si>
    <t>53104</t>
  </si>
  <si>
    <t>56364</t>
  </si>
  <si>
    <t>12103</t>
  </si>
  <si>
    <t>22103</t>
  </si>
  <si>
    <t>14102</t>
  </si>
  <si>
    <t>553</t>
  </si>
  <si>
    <t>12201</t>
  </si>
  <si>
    <t>12402</t>
  </si>
  <si>
    <t>14110</t>
  </si>
  <si>
    <t>Activos Biológicos</t>
  </si>
  <si>
    <t>14113</t>
  </si>
  <si>
    <t>Depreciación Acumulada de Activos Biológicos</t>
  </si>
  <si>
    <t>22101</t>
  </si>
  <si>
    <t>23202</t>
  </si>
  <si>
    <t>Transferencias de Capital</t>
  </si>
  <si>
    <t>452</t>
  </si>
  <si>
    <t>46102</t>
  </si>
  <si>
    <t>5310303</t>
  </si>
  <si>
    <t>55201</t>
  </si>
  <si>
    <t>56303</t>
  </si>
  <si>
    <t>Amortización de Bienes Intangibles</t>
  </si>
  <si>
    <t>56363</t>
  </si>
  <si>
    <t>=(114 - 11498 - 11405 - 11408 - 11409) + 11604</t>
  </si>
  <si>
    <t>ACTIVOS</t>
  </si>
  <si>
    <t>Disponibilidades en Moneda Extranjera</t>
  </si>
  <si>
    <t>Anticipos de Fondos</t>
  </si>
  <si>
    <t>Cuentas por Cobrar Con Contraprestación</t>
  </si>
  <si>
    <t>Cuentas por Cobrar Sin Contraprestación</t>
  </si>
  <si>
    <t>Deudores Varios</t>
  </si>
  <si>
    <t>Deterioro Acumulado de Bienes Financieros</t>
  </si>
  <si>
    <t>EXISTENCIAS</t>
  </si>
  <si>
    <t>OTROS ACTIVOS CORRIENTES</t>
  </si>
  <si>
    <t>BIENES FINANCIEROS </t>
  </si>
  <si>
    <t>INVERSIONES ASOCIADAS Y NEGOCIOS CONJUNTOS</t>
  </si>
  <si>
    <t>Terrenos </t>
  </si>
  <si>
    <t>Edificaciones Institucionales</t>
  </si>
  <si>
    <t>Infraestructura Pública </t>
  </si>
  <si>
    <t>Bienes Concesionados</t>
  </si>
  <si>
    <t>Bienes de Uso en Curso</t>
  </si>
  <si>
    <t>Otros Bienes de Uso </t>
  </si>
  <si>
    <t>Depreciación Acumulada de Bienes De Uso</t>
  </si>
  <si>
    <t>Deterioro Acumulado de Bienes De Uso</t>
  </si>
  <si>
    <t>BIENES INTANGIBLES</t>
  </si>
  <si>
    <t>Amortización Acumulada de Bienes  Intangibles</t>
  </si>
  <si>
    <t>Deterioro Acumulado de Bienes Intangibles</t>
  </si>
  <si>
    <t>PROPIEDADES DE INVERSIÓN</t>
  </si>
  <si>
    <t>Propiedades de Inversión</t>
  </si>
  <si>
    <t>Depreciación Acumulada de Propiedades de Inversión</t>
  </si>
  <si>
    <t>Deterioro Acumulado de Propiedad de Inversión</t>
  </si>
  <si>
    <t>ACTIVOS BIOLÓGICOS</t>
  </si>
  <si>
    <t>Deterioro Acumulado de Activos Biológicos</t>
  </si>
  <si>
    <t>OTROS ACTIVOS NO CORRIENTES</t>
  </si>
  <si>
    <t>125  </t>
  </si>
  <si>
    <t>PASIVOS</t>
  </si>
  <si>
    <t>DEUDA PÚBLICA</t>
  </si>
  <si>
    <t>Cuentas Por Pagar Con Contraprestación</t>
  </si>
  <si>
    <t>Cuentas Por Pagar Sin Contraprestación</t>
  </si>
  <si>
    <t>Obligaciones por Beneficios de los Empleados</t>
  </si>
  <si>
    <t>Pasivos por Leasing</t>
  </si>
  <si>
    <t>Pasivos por Concesiones</t>
  </si>
  <si>
    <t>OTRAS DEUDAS </t>
  </si>
  <si>
    <t>Obligaciones por Beneficios a los Empleados</t>
  </si>
  <si>
    <t>INTERESES MINORITARIOS</t>
  </si>
  <si>
    <t>TOTAL PASIVOS Y PATRIMONIO</t>
  </si>
  <si>
    <t>INGRESOS POR IMPUESTOS E IMPOSICIONES PREVISIONALES</t>
  </si>
  <si>
    <t>Impuestos</t>
  </si>
  <si>
    <t>Imposiciones Previsionales</t>
  </si>
  <si>
    <t>Aporte Fiscal</t>
  </si>
  <si>
    <t>INGRESOS POR VENTAS DE BIENES Y PRESTACIONES DE SERVICIOS DE GESTIÓN ORDINARIA</t>
  </si>
  <si>
    <t>Venta Neta de Bienes</t>
  </si>
  <si>
    <t>Prestaciones de Servicios</t>
  </si>
  <si>
    <t>RENTAS DE LA PROPIEDAD</t>
  </si>
  <si>
    <t>VENTA NETA DE OTROS BIENES</t>
  </si>
  <si>
    <t>Venta de Bienes de Uso Por Actividades Discontinuadas</t>
  </si>
  <si>
    <t>Venta de Propiedades De Inversión</t>
  </si>
  <si>
    <t>Venta de Bienes Intangibles</t>
  </si>
  <si>
    <t>Venta de Activos Biológicos</t>
  </si>
  <si>
    <t>INGRESOS FINANCIEROS</t>
  </si>
  <si>
    <t>Participaciones en Instrumentos de Patrimonio</t>
  </si>
  <si>
    <t>Participación en el Resultado de Asociadas y Negocios Conjuntos</t>
  </si>
  <si>
    <t>Venta o Rescate de Bienes Financieros</t>
  </si>
  <si>
    <t>Reversión de Deterioro</t>
  </si>
  <si>
    <t>OTROS INGRESOS</t>
  </si>
  <si>
    <t>Multas</t>
  </si>
  <si>
    <t xml:space="preserve">Otros </t>
  </si>
  <si>
    <t>= 43302 + 43304</t>
  </si>
  <si>
    <t>= 443 + 444</t>
  </si>
  <si>
    <t>= 46304 + 46305 + 46306 + 46307 + 46308 + 46309 + 46310 + 46311 + 46312 + 46313</t>
  </si>
  <si>
    <t>GASTOS EN PERSONAL</t>
  </si>
  <si>
    <t>Personal de Contrata</t>
  </si>
  <si>
    <t>Personal a Honorarios</t>
  </si>
  <si>
    <t>BIENES Y SERVICIOS DE CONSUMO</t>
  </si>
  <si>
    <t>DEPRECIACIÓN Y AMORTIZACIÓN</t>
  </si>
  <si>
    <t xml:space="preserve">Depreciación de Bienes </t>
  </si>
  <si>
    <t>BAJAS DE BIENES</t>
  </si>
  <si>
    <t>DETERIORO</t>
  </si>
  <si>
    <t>GASTOS FINANCIEROS</t>
  </si>
  <si>
    <t>Deterioro de Bienes Financieros</t>
  </si>
  <si>
    <t>OTROS GASTOS</t>
  </si>
  <si>
    <t>= 5310303 + 5310304 + 5310305 + 5310306 + 5310307 + 5310399 + 53104</t>
  </si>
  <si>
    <t>= 543 + 544</t>
  </si>
  <si>
    <t>= 56321 + 56322 + 56323 + 56324 + 56325 + 56326</t>
  </si>
  <si>
    <t>=  56363  + 56364 + 56365 + 56366 + 56368</t>
  </si>
  <si>
    <t>=  56350 + 56351 + 56352 + 56353 + 56354 + 56355 + 56356 + 56357 + 56359 + 56360</t>
  </si>
  <si>
    <t>=  53301 + 53302 + 53308</t>
  </si>
  <si>
    <t>=  53303 + 53304</t>
  </si>
  <si>
    <t>=  511 + 545 + 561 + 571 + 56303 + 56371 + 56399</t>
  </si>
  <si>
    <t>RESULTADO DEL EJERCICIO</t>
  </si>
  <si>
    <t>VARIACIÓN DEL VALOR RAZONABLE EN ACTIVOS FINANCIEROS</t>
  </si>
  <si>
    <t>OPERACIONES DE CAMBIO</t>
  </si>
  <si>
    <t xml:space="preserve">08 OTROS INGRESOS CORRIENTES </t>
  </si>
  <si>
    <t>25 INTEGROS AL FISCO</t>
  </si>
  <si>
    <t>28 APORTE FISCAL PARA SERVICIO DE LA DEUDA</t>
  </si>
  <si>
    <t>31 INICIATIVAS DE INVERSION</t>
  </si>
  <si>
    <t>VARIACIÓN DE FONDOS PRESUPUESTARIOS</t>
  </si>
  <si>
    <t xml:space="preserve">     FLUJOS ORIGINADOS EN ACTIVIDADES OPERACIONALES</t>
  </si>
  <si>
    <t xml:space="preserve">          - INGRESOS OPERACIONES PRESUPUESTARIOS</t>
  </si>
  <si>
    <t xml:space="preserve">                  Impuestos</t>
  </si>
  <si>
    <t xml:space="preserve">                  Imposiciones Previsionales</t>
  </si>
  <si>
    <t xml:space="preserve">                  Transferencias Corrientes</t>
  </si>
  <si>
    <t xml:space="preserve">                  Rentas de la Propiedad</t>
  </si>
  <si>
    <t xml:space="preserve">                  Ingresos de Operación</t>
  </si>
  <si>
    <t xml:space="preserve">                  Otros Ingresos Corrientes</t>
  </si>
  <si>
    <t xml:space="preserve">                  Aporte Fiscal</t>
  </si>
  <si>
    <t xml:space="preserve">                  Transferencias Para Gasto de Capital</t>
  </si>
  <si>
    <t xml:space="preserve">          - GASTOS OPERACIONES PRESUPUESTARIOS</t>
  </si>
  <si>
    <t xml:space="preserve">                  Gastos en Personal</t>
  </si>
  <si>
    <t xml:space="preserve">                  Bienes y Servicios de Consumo</t>
  </si>
  <si>
    <t xml:space="preserve">                  Prestaciones de Seguridad Social</t>
  </si>
  <si>
    <t xml:space="preserve">                  Integros al Fisco</t>
  </si>
  <si>
    <t xml:space="preserve">                  Otros Gastos Corrientes</t>
  </si>
  <si>
    <t xml:space="preserve">                  Aporte Fiscal Libre</t>
  </si>
  <si>
    <t xml:space="preserve">                  Aporte Fiscal Para el Servicio de la Deuda</t>
  </si>
  <si>
    <t xml:space="preserve">                  Transferencias de Capital</t>
  </si>
  <si>
    <t xml:space="preserve">Servicio de la Deuda – Intereses Y Otros Gastos Financieros </t>
  </si>
  <si>
    <t xml:space="preserve">     FLUJOS ORIGINADOS EN ACTIVIDADES DE INVERSIÓN</t>
  </si>
  <si>
    <t xml:space="preserve">          - INGRESOS POR ACTIVIDADES DE INVERSIÓN PRESUPUESTARIAS</t>
  </si>
  <si>
    <t xml:space="preserve">                  Venta de Activos Financieros</t>
  </si>
  <si>
    <t xml:space="preserve">                  Venta de Activos No Financieros</t>
  </si>
  <si>
    <t xml:space="preserve">                  Recuperación de Préstamos</t>
  </si>
  <si>
    <t xml:space="preserve">          - GASTOS POR ACTIVIDADES DE INVERSIÓN PRESUPUESTARIOS</t>
  </si>
  <si>
    <t xml:space="preserve">                  Adquisición de Activos Financieros</t>
  </si>
  <si>
    <t xml:space="preserve">                  Adquisición de Activos No Financieros</t>
  </si>
  <si>
    <t xml:space="preserve">                  Iniciativas de Inversión</t>
  </si>
  <si>
    <t xml:space="preserve">                  Préstamos</t>
  </si>
  <si>
    <t xml:space="preserve">          - INGRESOS POR ACTIVIDADES DE FINANCIACIÓN PRESUPUESTARIAS</t>
  </si>
  <si>
    <t xml:space="preserve">                  Endeudamiento</t>
  </si>
  <si>
    <t xml:space="preserve">          - GASTOS POR ACTIVIDADES DE FINANCIACIÓN PRESUPUESTARIAS</t>
  </si>
  <si>
    <t xml:space="preserve">                  Servicio de la Deuda</t>
  </si>
  <si>
    <t xml:space="preserve">     MOVIMIENTOS ACREEDORES</t>
  </si>
  <si>
    <t xml:space="preserve">     MOVIMIENTOS DEUDORES </t>
  </si>
  <si>
    <t>VARIACIÓN NETA DEL EFECTIVO </t>
  </si>
  <si>
    <t>Saldo Inicial de Disponibilidades</t>
  </si>
  <si>
    <t>Saldo Final de Disponibilidades</t>
  </si>
  <si>
    <t>115.01</t>
  </si>
  <si>
    <t>115.04</t>
  </si>
  <si>
    <t>115.05</t>
  </si>
  <si>
    <t>115.06</t>
  </si>
  <si>
    <t>115.07</t>
  </si>
  <si>
    <t>115.08</t>
  </si>
  <si>
    <t>115.09</t>
  </si>
  <si>
    <t>115.13</t>
  </si>
  <si>
    <t>215.21</t>
  </si>
  <si>
    <t>215.22</t>
  </si>
  <si>
    <t>215.23</t>
  </si>
  <si>
    <t>215.24</t>
  </si>
  <si>
    <t>215.25</t>
  </si>
  <si>
    <t>215.26</t>
  </si>
  <si>
    <t>215.27</t>
  </si>
  <si>
    <t>215.28</t>
  </si>
  <si>
    <t>215.33</t>
  </si>
  <si>
    <t>115.11</t>
  </si>
  <si>
    <t>115.10</t>
  </si>
  <si>
    <t>115.12</t>
  </si>
  <si>
    <t>215.30</t>
  </si>
  <si>
    <t>215.29</t>
  </si>
  <si>
    <t>215.31</t>
  </si>
  <si>
    <t>215.32</t>
  </si>
  <si>
    <t>115.14</t>
  </si>
  <si>
    <t>=Efectivo de 34.03 + 34.04 + 34.05 + 34.06</t>
  </si>
  <si>
    <t xml:space="preserve">     FLUJOS ORIGINADOS EN ACTIVIDADES DE FINANCIACION</t>
  </si>
  <si>
    <t>=Efectivo de 34.01 + 34.02 + 34.07</t>
  </si>
  <si>
    <t>=  111 + 112</t>
  </si>
  <si>
    <t xml:space="preserve">    1 MOVIMIENTOS ACREEDORES</t>
  </si>
  <si>
    <t xml:space="preserve">              Anticipos de Fondos</t>
  </si>
  <si>
    <t xml:space="preserve">              Ajustes a Disponibilidades - Activo</t>
  </si>
  <si>
    <t xml:space="preserve">              Remesas Otorgadas</t>
  </si>
  <si>
    <t xml:space="preserve">              Aplicación de Fondos en Administración</t>
  </si>
  <si>
    <t xml:space="preserve">              Fondos Especiales</t>
  </si>
  <si>
    <t xml:space="preserve">              Depósitos de Terceros</t>
  </si>
  <si>
    <t xml:space="preserve">              Ajustes a Disponibilidades - Pasivo</t>
  </si>
  <si>
    <t xml:space="preserve">              Remesas Recibidas</t>
  </si>
  <si>
    <t xml:space="preserve">   2  MOVIMIENTOS DEUDORES </t>
  </si>
  <si>
    <t>114 - 114.05</t>
  </si>
  <si>
    <t>114 -11405</t>
  </si>
  <si>
    <t>AUMENTOS DEL PATRIMONIO</t>
  </si>
  <si>
    <t xml:space="preserve">         Cambio de Políticas Contables</t>
  </si>
  <si>
    <t xml:space="preserve">         Ajuste por Corrección de Errores</t>
  </si>
  <si>
    <t xml:space="preserve">         Otros Aumentos</t>
  </si>
  <si>
    <t>DISMINUCIONES DEL PATRIMONIO</t>
  </si>
  <si>
    <t xml:space="preserve">         Otras Disminuciones</t>
  </si>
  <si>
    <t xml:space="preserve">     MÁS / MENOS</t>
  </si>
  <si>
    <t xml:space="preserve">         Resultado del Periodo</t>
  </si>
  <si>
    <t>Abonos cuentas 311</t>
  </si>
  <si>
    <t>Cargos cuentas 311</t>
  </si>
  <si>
    <t>=   4 - 5</t>
  </si>
  <si>
    <t>Saldo Inicial de las cuentas 311</t>
  </si>
  <si>
    <t>11408</t>
  </si>
  <si>
    <t>11409</t>
  </si>
  <si>
    <t>12205</t>
  </si>
  <si>
    <t>12206</t>
  </si>
  <si>
    <t>12207</t>
  </si>
  <si>
    <t>12209</t>
  </si>
  <si>
    <t>12210</t>
  </si>
  <si>
    <t>12211</t>
  </si>
  <si>
    <t>=  113 + 12201 + 12205 + 12206 + 12207 + 12209 + 12210 + 12211</t>
  </si>
  <si>
    <t>=  11409 + 11506 + 11507 + 11510 + 11511 + 11512 + 11514 + 12109 + 12192</t>
  </si>
  <si>
    <t>12109</t>
  </si>
  <si>
    <t>12193</t>
  </si>
  <si>
    <t>= 11501 + 11504 + 11505 + 11508 + 11509 + 11513 + 12193</t>
  </si>
  <si>
    <t>12301</t>
  </si>
  <si>
    <t>12302</t>
  </si>
  <si>
    <t>12303</t>
  </si>
  <si>
    <t>12304</t>
  </si>
  <si>
    <t>12305</t>
  </si>
  <si>
    <t>12306</t>
  </si>
  <si>
    <t>12307</t>
  </si>
  <si>
    <t>12309</t>
  </si>
  <si>
    <t>12321</t>
  </si>
  <si>
    <t>=  12301 + 12302 + 12303 + 12304 + 12305 + 12306 + 12307 + 12309 + 12321</t>
  </si>
  <si>
    <t>12102</t>
  </si>
  <si>
    <t>12105</t>
  </si>
  <si>
    <t>12601</t>
  </si>
  <si>
    <t>12602</t>
  </si>
  <si>
    <t>12603</t>
  </si>
  <si>
    <t>134</t>
  </si>
  <si>
    <t>= 11408 + 11498 + 11601 + 12101 + 12102 + 12103 + 12105 + 12106</t>
  </si>
  <si>
    <t xml:space="preserve"> = 131 + 132 + 133 + 134</t>
  </si>
  <si>
    <t xml:space="preserve"> = 12601 + 12602 + 12603</t>
  </si>
  <si>
    <t>12202</t>
  </si>
  <si>
    <t>12203</t>
  </si>
  <si>
    <t>12299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</si>
  <si>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</si>
  <si>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</si>
  <si>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</si>
  <si>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</si>
  <si>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</si>
  <si>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</si>
  <si>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</si>
  <si>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</si>
  <si>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= 12202 + 12203 + 12299</t>
  </si>
  <si>
    <t>= 12313 + 12314 + 12315 + 12316 + 12317 + 12318 + 12319 + 12320</t>
  </si>
  <si>
    <t>12401</t>
  </si>
  <si>
    <t>12407</t>
  </si>
  <si>
    <t>18101</t>
  </si>
  <si>
    <t>= 12401 +  12402 + 12107 + 18101</t>
  </si>
  <si>
    <t>12605</t>
  </si>
  <si>
    <t>12604</t>
  </si>
  <si>
    <t>12699</t>
  </si>
  <si>
    <t>12208</t>
  </si>
  <si>
    <t>= 12605 + 12604 + 12699</t>
  </si>
  <si>
    <t>14204</t>
  </si>
  <si>
    <t>= 14201 + 14204</t>
  </si>
  <si>
    <t>147</t>
  </si>
  <si>
    <t>= 145 +  161</t>
  </si>
  <si>
    <t>14111</t>
  </si>
  <si>
    <t>14112</t>
  </si>
  <si>
    <t>14199</t>
  </si>
  <si>
    <t>146</t>
  </si>
  <si>
    <t>18102</t>
  </si>
  <si>
    <t>148</t>
  </si>
  <si>
    <t>154</t>
  </si>
  <si>
    <t>155</t>
  </si>
  <si>
    <t>156</t>
  </si>
  <si>
    <t>157</t>
  </si>
  <si>
    <t>158</t>
  </si>
  <si>
    <t>159</t>
  </si>
  <si>
    <t>17101</t>
  </si>
  <si>
    <t>= 11602 + 11605 + 17101</t>
  </si>
  <si>
    <t>21409</t>
  </si>
  <si>
    <t>23108</t>
  </si>
  <si>
    <t>23111</t>
  </si>
  <si>
    <t>23112</t>
  </si>
  <si>
    <t>= 23101 + 23102 + 23103 + 23108 + 23111 + 23112</t>
  </si>
  <si>
    <t>23201</t>
  </si>
  <si>
    <t>23204</t>
  </si>
  <si>
    <t>23205</t>
  </si>
  <si>
    <t>23208</t>
  </si>
  <si>
    <t>= 23201 + 23202 + 23203 + 23204 + 23205 + 23208</t>
  </si>
  <si>
    <t>= 21521 +  21522 +  21529 +  21530 +  21531 + 21532 + 21534 + 22192</t>
  </si>
  <si>
    <t>22193</t>
  </si>
  <si>
    <t>= 21523 +  21524 +  21525 + 21526 + 21527 + 21528 +  21533 + 22193</t>
  </si>
  <si>
    <t>22404</t>
  </si>
  <si>
    <t>22405</t>
  </si>
  <si>
    <t>22406</t>
  </si>
  <si>
    <t>22407</t>
  </si>
  <si>
    <t>= 22404 + 22405 +  22406 + 22407</t>
  </si>
  <si>
    <t>22602</t>
  </si>
  <si>
    <t>22603</t>
  </si>
  <si>
    <t>22604</t>
  </si>
  <si>
    <t>22605</t>
  </si>
  <si>
    <t>22606</t>
  </si>
  <si>
    <t>= 22602 +  22603 + 22604 + 22605 + 22606</t>
  </si>
  <si>
    <t>2311001</t>
  </si>
  <si>
    <t>= 23104 +  23109 + 2311001</t>
  </si>
  <si>
    <t>22202</t>
  </si>
  <si>
    <t>22203</t>
  </si>
  <si>
    <t>22209</t>
  </si>
  <si>
    <t>= 22202 +  22203 + 22209</t>
  </si>
  <si>
    <t>22102</t>
  </si>
  <si>
    <t>22106</t>
  </si>
  <si>
    <t>22113</t>
  </si>
  <si>
    <t>22204</t>
  </si>
  <si>
    <t>22207</t>
  </si>
  <si>
    <t>22208</t>
  </si>
  <si>
    <t>22501</t>
  </si>
  <si>
    <t>22502</t>
  </si>
  <si>
    <t>22503</t>
  </si>
  <si>
    <t>22504</t>
  </si>
  <si>
    <t>22111</t>
  </si>
  <si>
    <t>23113</t>
  </si>
  <si>
    <t>23114</t>
  </si>
  <si>
    <t>23115</t>
  </si>
  <si>
    <t>23116</t>
  </si>
  <si>
    <t>23117</t>
  </si>
  <si>
    <t>= 23113 +  23114 + 23115 + 23117</t>
  </si>
  <si>
    <t>23209</t>
  </si>
  <si>
    <t>23210</t>
  </si>
  <si>
    <t>23211</t>
  </si>
  <si>
    <t>23212</t>
  </si>
  <si>
    <t>23213</t>
  </si>
  <si>
    <t>22408</t>
  </si>
  <si>
    <t>22409</t>
  </si>
  <si>
    <t>22410</t>
  </si>
  <si>
    <t>= 22408 + 22409 + 22410</t>
  </si>
  <si>
    <t>= 23209 + 23210 + 23211 + 23212 + 23213</t>
  </si>
  <si>
    <t>22607</t>
  </si>
  <si>
    <t>22608</t>
  </si>
  <si>
    <t>= 22607 + 22608</t>
  </si>
  <si>
    <t>2311002</t>
  </si>
  <si>
    <t>= 2311002 +  23116</t>
  </si>
  <si>
    <t>22205</t>
  </si>
  <si>
    <t>22206</t>
  </si>
  <si>
    <t>22210</t>
  </si>
  <si>
    <t>= 22205 +  22206 + 22210</t>
  </si>
  <si>
    <t>56371</t>
  </si>
  <si>
    <t>56399</t>
  </si>
  <si>
    <t>55202</t>
  </si>
  <si>
    <t>43301</t>
  </si>
  <si>
    <t>455</t>
  </si>
  <si>
    <t>555</t>
  </si>
  <si>
    <t>554</t>
  </si>
  <si>
    <t>456</t>
  </si>
  <si>
    <t>556</t>
  </si>
  <si>
    <t>43302</t>
  </si>
  <si>
    <t>43304</t>
  </si>
  <si>
    <t>46108</t>
  </si>
  <si>
    <t>43303</t>
  </si>
  <si>
    <t>551</t>
  </si>
  <si>
    <t>46304</t>
  </si>
  <si>
    <t>46305</t>
  </si>
  <si>
    <t>46306</t>
  </si>
  <si>
    <t>46307</t>
  </si>
  <si>
    <t>46308</t>
  </si>
  <si>
    <t>46309</t>
  </si>
  <si>
    <t>46310</t>
  </si>
  <si>
    <t>46311</t>
  </si>
  <si>
    <t>46312</t>
  </si>
  <si>
    <t>46313</t>
  </si>
  <si>
    <t>43309</t>
  </si>
  <si>
    <t>445</t>
  </si>
  <si>
    <t>46110</t>
  </si>
  <si>
    <t>462</t>
  </si>
  <si>
    <t>46328</t>
  </si>
  <si>
    <t>5310302</t>
  </si>
  <si>
    <t>5310304</t>
  </si>
  <si>
    <t>5310306</t>
  </si>
  <si>
    <t>5310399</t>
  </si>
  <si>
    <t>56322</t>
  </si>
  <si>
    <t>56323</t>
  </si>
  <si>
    <t>56324</t>
  </si>
  <si>
    <t>56325</t>
  </si>
  <si>
    <t>56326</t>
  </si>
  <si>
    <t>56365</t>
  </si>
  <si>
    <t>56366</t>
  </si>
  <si>
    <t>56368</t>
  </si>
  <si>
    <t>56350</t>
  </si>
  <si>
    <t>56351</t>
  </si>
  <si>
    <t>56352</t>
  </si>
  <si>
    <t>56353</t>
  </si>
  <si>
    <t>56354</t>
  </si>
  <si>
    <t>56355</t>
  </si>
  <si>
    <t>56356</t>
  </si>
  <si>
    <t>56357</t>
  </si>
  <si>
    <t>56358</t>
  </si>
  <si>
    <t>56359</t>
  </si>
  <si>
    <t>56360</t>
  </si>
  <si>
    <t>53308</t>
  </si>
  <si>
    <t>545</t>
  </si>
  <si>
    <t>= 5310301 + 5310302</t>
  </si>
  <si>
    <t>56328</t>
  </si>
  <si>
    <t>Codigo Base</t>
  </si>
  <si>
    <t>05</t>
  </si>
  <si>
    <t>07</t>
  </si>
  <si>
    <t>08</t>
  </si>
  <si>
    <t>09</t>
  </si>
  <si>
    <t>01</t>
  </si>
  <si>
    <t>04</t>
  </si>
  <si>
    <t>06</t>
  </si>
  <si>
    <t>10</t>
  </si>
  <si>
    <t>24</t>
  </si>
  <si>
    <t>25</t>
  </si>
  <si>
    <t>27</t>
  </si>
  <si>
    <t>28</t>
  </si>
  <si>
    <t>29</t>
  </si>
  <si>
    <t>30</t>
  </si>
  <si>
    <t>33</t>
  </si>
  <si>
    <t>34</t>
  </si>
  <si>
    <t>35</t>
  </si>
  <si>
    <t>3407</t>
  </si>
  <si>
    <t>3403</t>
  </si>
  <si>
    <t>3404</t>
  </si>
  <si>
    <t>3405</t>
  </si>
  <si>
    <t>3406</t>
  </si>
  <si>
    <t>3401</t>
  </si>
  <si>
    <t>3402</t>
  </si>
  <si>
    <t xml:space="preserve">INGRESOS </t>
  </si>
  <si>
    <t>   INGRESOS POR IMPUESTOS E IMPOSICIONES PREVISIONALES</t>
  </si>
  <si>
    <t>       Impuestos</t>
  </si>
  <si>
    <t>       Imposiciones Previsionales</t>
  </si>
  <si>
    <t>   TRANSFERENCIAS RECIBIDAS</t>
  </si>
  <si>
    <t>       Transferencias Corrientes</t>
  </si>
  <si>
    <t>       Transferencias de Capital</t>
  </si>
  <si>
    <t>       Aporte Fiscal</t>
  </si>
  <si>
    <t>   INGRESOS POR VENTAS DE BIENES Y PRESTACIONES DE SERVICIOS DE GESTIÓN ORDINARIA</t>
  </si>
  <si>
    <t>       Venta Neta de Bienes</t>
  </si>
  <si>
    <t>       Prestaciones de Servicios</t>
  </si>
  <si>
    <t>   RENTAS DE LA PROPIEDAD</t>
  </si>
  <si>
    <t>       Arriendos</t>
  </si>
  <si>
    <t>   VENTA NETA DE OTROS BIENES</t>
  </si>
  <si>
    <t>       Venta de Bienes de Uso</t>
  </si>
  <si>
    <t>       Venta de Bienes de Uso Por Actividades Discontinuadas</t>
  </si>
  <si>
    <t>       Venta de Propiedades de Inversión</t>
  </si>
  <si>
    <t>       Venta de Bienes Intangibles</t>
  </si>
  <si>
    <t>       Venta de Activos Biológicos</t>
  </si>
  <si>
    <t>   INGRESOS FINANCIEROS</t>
  </si>
  <si>
    <t>       Participaciones en Instrumentos de Patrimonio</t>
  </si>
  <si>
    <t>       Participación en el Resultado de Asociadas y Negocios Conjuntos</t>
  </si>
  <si>
    <t>       Intereses</t>
  </si>
  <si>
    <t>       Venta o rescate de Bienes Financieros</t>
  </si>
  <si>
    <t>       Reversión de Deterioro</t>
  </si>
  <si>
    <t>   OTROS INGRESOS</t>
  </si>
  <si>
    <t>       Multas</t>
  </si>
  <si>
    <t>       Otros</t>
  </si>
  <si>
    <t xml:space="preserve">GASTOS </t>
  </si>
  <si>
    <t>   GASTOS EN PERSONAL</t>
  </si>
  <si>
    <t>       Personal de Planta</t>
  </si>
  <si>
    <t>       Personal de Contrata</t>
  </si>
  <si>
    <t>       Personal a Honorarios</t>
  </si>
  <si>
    <t>   BIENES Y SERVICIOS DE CONSUMO</t>
  </si>
  <si>
    <t>   PRESTACIONES DE SEGURIDAD SOCIAL</t>
  </si>
  <si>
    <t>   TRANSFERENCIAS OTORGADAS</t>
  </si>
  <si>
    <t>   DEPRECIACIÓN Y AMORTIZACIÓN</t>
  </si>
  <si>
    <t>       Depreciación de Bienes</t>
  </si>
  <si>
    <t>       Amortización de Bienes Intangibles</t>
  </si>
  <si>
    <t>   BAJAS DE BIENES</t>
  </si>
  <si>
    <t>   DETERIORO</t>
  </si>
  <si>
    <t>   GASTOS FINANCIEROS</t>
  </si>
  <si>
    <t>       Deterioro de Bienes Financieros</t>
  </si>
  <si>
    <t>   OTROS GASTOS</t>
  </si>
  <si>
    <t xml:space="preserve">VARIACIÓN DEL VALOR RAZONABLE EN ACTIVOS FINANCIEROS </t>
  </si>
  <si>
    <t xml:space="preserve">OPERACIONES DE CAMBIO </t>
  </si>
  <si>
    <t>  FLUJOS ORIGINADOS EN ACTIVIDADES OPERACIONALES</t>
  </si>
  <si>
    <t>      -  INGRESOS OPERACIONALES PRESUPUESTARIOS</t>
  </si>
  <si>
    <t>        Impuestos</t>
  </si>
  <si>
    <t>        Imposiciones Previsionales</t>
  </si>
  <si>
    <t>        Transferencias Corrientes</t>
  </si>
  <si>
    <t>        Rentas de la Propiedad</t>
  </si>
  <si>
    <t>        Ingresos de Operación</t>
  </si>
  <si>
    <t>        Otros Ingresos Corrientes</t>
  </si>
  <si>
    <t>        Aporte Fiscal</t>
  </si>
  <si>
    <t>        Transferencias Para Gasto de Capital</t>
  </si>
  <si>
    <t>      -  GASTOS OPERACIONALES PRESUPUESTARIOS</t>
  </si>
  <si>
    <t>        Gastos en Personal</t>
  </si>
  <si>
    <t>        Bienes y Servicios de Consumo</t>
  </si>
  <si>
    <t>        Prestaciones de Seguridad Social</t>
  </si>
  <si>
    <t>        Integros al Fisco</t>
  </si>
  <si>
    <t>        Otros Gastos Corrientes</t>
  </si>
  <si>
    <t>        Aporte Fiscal Libre</t>
  </si>
  <si>
    <t>        Aporte Fiscal Para el Servicio de la Deuda</t>
  </si>
  <si>
    <t>        Transferencias de Capital</t>
  </si>
  <si>
    <t>        Servicio de la Deuda - Intereses Y Otros Gastos Financieros</t>
  </si>
  <si>
    <t>  FLUJOS ORIGINADOS EN ACTIVIDADES DE INVERSIÓN</t>
  </si>
  <si>
    <t>      -  INGRESOS POR ACTIVIDADES DE INVERSIÓN PRESUPUESTARIAS</t>
  </si>
  <si>
    <t>        Ventas de Activos Financieros</t>
  </si>
  <si>
    <t>        Ventas de Activos No Financieros</t>
  </si>
  <si>
    <t>        Recuperación de Préstamos</t>
  </si>
  <si>
    <t>      -  GASTOS POR ACTIVIDADES DE INVERSIÓN PRESUPUESTARIOS</t>
  </si>
  <si>
    <t>        Adquisición de Activos Financieros</t>
  </si>
  <si>
    <t>        Adquisición de Activos No Financieros</t>
  </si>
  <si>
    <t>        Iniciativas de Inversión</t>
  </si>
  <si>
    <t>        Préstamos</t>
  </si>
  <si>
    <t>  FLUJOS ORIGINADOS EN ACTIVIDADES DE FINANCIACIÓN</t>
  </si>
  <si>
    <t>      -  INGRESOS POR ACTIVIDADES DE FINANCIACIÓN PRESUPUESTARIAS</t>
  </si>
  <si>
    <t>        Endeudamiento</t>
  </si>
  <si>
    <t>      -  GASTOS POR ACTIVIDADES DE FINANCIACIÓN PRESUPUESTARIAS</t>
  </si>
  <si>
    <t>        Servicio de la Deuda</t>
  </si>
  <si>
    <t>  MOVIMIENTOS ACREEDORES</t>
  </si>
  <si>
    <t>  MOVIMIENTOS DEUDORES</t>
  </si>
  <si>
    <t>VARIACIÓN NETA DEL EFECTIVO</t>
  </si>
  <si>
    <t>MOVIMIENTOS ACREEDORES</t>
  </si>
  <si>
    <t> Anticipos de Fondos</t>
  </si>
  <si>
    <t> Ajustes a Disponibilidades - Activo</t>
  </si>
  <si>
    <t> Remesas Otorgadas</t>
  </si>
  <si>
    <t> Aplicación de Fondos en Administración</t>
  </si>
  <si>
    <t> Fondos especiales</t>
  </si>
  <si>
    <t> Depósitos de Terceros</t>
  </si>
  <si>
    <t> Ajustes a Disponibilidades - Pasivo</t>
  </si>
  <si>
    <t> Remesas Recibidas</t>
  </si>
  <si>
    <t>MOVIMIENTOS DEUDORES</t>
  </si>
  <si>
    <t xml:space="preserve">AUMENTOS DEL PATRIMONIO </t>
  </si>
  <si>
    <t>   Cambio de Políticas Contables</t>
  </si>
  <si>
    <t>   Ajuste por Corrección de Errores</t>
  </si>
  <si>
    <t>   Otros Aumentos</t>
  </si>
  <si>
    <t xml:space="preserve">DISMINUCIONES DEL PATRIMONIO </t>
  </si>
  <si>
    <t>   Otras Disminuciones</t>
  </si>
  <si>
    <t xml:space="preserve">VARIACIÓN NETA DIRECTA DEL PATRIMONIO </t>
  </si>
  <si>
    <t>   MÁS / MENOS:</t>
  </si>
  <si>
    <t>       Resultado del Periodo</t>
  </si>
  <si>
    <t xml:space="preserve">VARIACIÓN NETA DEL PATRIMONIO </t>
  </si>
  <si>
    <t>   MÁS:</t>
  </si>
  <si>
    <t>   PATRIMONIO INICIAL</t>
  </si>
  <si>
    <t>   PATRIMONIO FINAL</t>
  </si>
  <si>
    <t>PRESUPUESTO</t>
  </si>
  <si>
    <t>INICIAL</t>
  </si>
  <si>
    <t>ACTUALIZADO</t>
  </si>
  <si>
    <t>POR PERCIBIR</t>
  </si>
  <si>
    <t>08 OTROS INGRESOS CORRIENTES</t>
  </si>
  <si>
    <t>POR PAGAR</t>
  </si>
  <si>
    <t>AÑO</t>
  </si>
  <si>
    <t>  ACTIVO CORRIENTE</t>
  </si>
  <si>
    <t>      RECURSOS DISPONIBLES</t>
  </si>
  <si>
    <t>           Disponibilidades en Moneda Nacional</t>
  </si>
  <si>
    <t>           Disponibilidades en Moneda Extranjera</t>
  </si>
  <si>
    <t>           Anticipos de Fondos</t>
  </si>
  <si>
    <t>      BIENES FINANCIEROS</t>
  </si>
  <si>
    <t>           Inversiones Financieras</t>
  </si>
  <si>
    <t>           Cuentas por Cobrar Con Contraprestación</t>
  </si>
  <si>
    <t>           Cuentas por Cobrar Sin Contraprestación</t>
  </si>
  <si>
    <t>           Préstamos</t>
  </si>
  <si>
    <t>           Deudores Varios</t>
  </si>
  <si>
    <t>           Deterioro Acumulado de Bienes Financieros</t>
  </si>
  <si>
    <t>      EXISTENCIAS</t>
  </si>
  <si>
    <t>      OTROS ACTIVOS CORRIENTES</t>
  </si>
  <si>
    <t>  ACTIVO NO CORRIENTE</t>
  </si>
  <si>
    <t>      INVERSIONES ASOCIADAS Y NEGOCIOS CONJUNTOS</t>
  </si>
  <si>
    <t>      BIENES DE USO</t>
  </si>
  <si>
    <t>           Terrenos</t>
  </si>
  <si>
    <t>           Edificaciones Institucionales</t>
  </si>
  <si>
    <t>           Infraestructura Pública</t>
  </si>
  <si>
    <t>           Bienes de Uso en Leasing</t>
  </si>
  <si>
    <t>           Bienes Concesionados</t>
  </si>
  <si>
    <t>           Bienes de Uso en Curso</t>
  </si>
  <si>
    <t>           Otros Bienes de Uso</t>
  </si>
  <si>
    <t>           Depreciación Acumulada de Bienes De Uso</t>
  </si>
  <si>
    <t>           Deterioro Acumulado de Bienes De Uso</t>
  </si>
  <si>
    <t>      BIENES INTANGIBLES</t>
  </si>
  <si>
    <t>           Bienes Intangibles</t>
  </si>
  <si>
    <t>           Amortización Acumulada de Bienes Intangibles</t>
  </si>
  <si>
    <t>           Deterioro Acumulado de Bienes Intangibles</t>
  </si>
  <si>
    <t>      PROPIEDADES DE INVERSIÓN</t>
  </si>
  <si>
    <t>           Propiedades de Inversión</t>
  </si>
  <si>
    <t>           Depreciación Acumulada de Propiedades de Inversión</t>
  </si>
  <si>
    <t>           Deterioro Acumulado de Propiedad de Inversión</t>
  </si>
  <si>
    <t>      ACTIVOS BIOLÓGICOS</t>
  </si>
  <si>
    <t>           Activos Biológicos</t>
  </si>
  <si>
    <t>           Depreciación Acumulada de Activos Biológicos</t>
  </si>
  <si>
    <t>           Deterioro Acumulado de Activos Biológicos</t>
  </si>
  <si>
    <t>      OTROS ACTIVOS NO CORRIENTES</t>
  </si>
  <si>
    <t>  PASIVO CORRIENTE</t>
  </si>
  <si>
    <t>      DEUDA CORRIENTE</t>
  </si>
  <si>
    <t>           Depósitos de Terceros</t>
  </si>
  <si>
    <t>      DEUDA PÚBLICA</t>
  </si>
  <si>
    <t>           Deuda Pública Interna</t>
  </si>
  <si>
    <t>           Deuda Pública Externa</t>
  </si>
  <si>
    <t>      OTRAS DEUDAS</t>
  </si>
  <si>
    <t>           Cuentas Por Pagar Con Contraprestación</t>
  </si>
  <si>
    <t>           Cuentas Por Pagar Sin Contraprestación</t>
  </si>
  <si>
    <t>           Provisiones</t>
  </si>
  <si>
    <t>           Obligaciones por Beneficios de los Empleados</t>
  </si>
  <si>
    <t>           Pasivos por Leasing</t>
  </si>
  <si>
    <t>           Pasivos por Concesiones</t>
  </si>
  <si>
    <t>           Otros Pasivos</t>
  </si>
  <si>
    <t>  PASIVO NO CORRIENTE</t>
  </si>
  <si>
    <t>           Obligaciones por Beneficios a los Empleados</t>
  </si>
  <si>
    <t>      PATRIMONIO DEL ESTADO</t>
  </si>
  <si>
    <t>           Patrimonio Institucional</t>
  </si>
  <si>
    <t>           Resultados Acumulados</t>
  </si>
  <si>
    <t>           Resultado del Ejercicio</t>
  </si>
  <si>
    <t>      INTERESES MINORITARIOS</t>
  </si>
  <si>
    <t>= 31103 + (4-5)</t>
  </si>
  <si>
    <t>= (452*-1) - 55201</t>
  </si>
  <si>
    <t>= (431*-1) -55202</t>
  </si>
  <si>
    <t>= (453*-1) -553</t>
  </si>
  <si>
    <t>= (455*-1) - 555</t>
  </si>
  <si>
    <t>= (454*-1) - 554</t>
  </si>
  <si>
    <t>= (456*-1) -556</t>
  </si>
  <si>
    <t>= (451*-1) -551</t>
  </si>
  <si>
    <t>NOMBRE DEL SERVICIO</t>
  </si>
  <si>
    <t>Patrimonio Inicial Más Variación Neta del Patrimonio</t>
  </si>
  <si>
    <t>Programa 01 XXX</t>
  </si>
  <si>
    <t>=   (46328*-1) - 56328</t>
  </si>
  <si>
    <t>(INGRESOS - GASTOS + VARIACIÓN DEL VALOR RAZONABLE EN ACTIVOS FINANCIEROS - OPERACIONES DE CAMBIO)</t>
  </si>
  <si>
    <t>Capítulo IV</t>
  </si>
  <si>
    <t>Al 31 de Diciembre de 2018</t>
  </si>
  <si>
    <t>Miles de Pesos de 2018</t>
  </si>
  <si>
    <t>Desde el 01 de enero al 31 de diciembre de 2018</t>
  </si>
  <si>
    <t>= 14102 + 14104 + 14105 + 14106 + 14107 + 14108 + 14109 + 14110 +  14112 + 14113 + 14114 +  14199 + 146 + 18102</t>
  </si>
  <si>
    <t>=(214 + 11405 - 21409 - 21408  -  21498) + 21604</t>
  </si>
  <si>
    <t>= 21408  +  21409 + 21498 + 21601 + 22101 + 22102 + 22103 + 22106 + 22113 +  22204 + 22207 + 22208 + 22501 + 22502 + 22503 + 22504 + 22111</t>
  </si>
  <si>
    <t>=( 43309 + 445 + 46101 + 46104 +  46105  + 46110 + 462 + 463) - (46304 + 46305 + 46306 + 46307 + 46308 + 46309 + 46310 + 46311 + 46312 + 46313 + 46328)</t>
  </si>
  <si>
    <t>21408</t>
  </si>
  <si>
    <t>14114</t>
  </si>
  <si>
    <t>46105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</si>
</sst>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;\-&quot;$&quot;\ #,##0"/>
    <numFmt numFmtId="165" formatCode="#,##0_ ;[Red]\-#,##0\ "/>
    <numFmt numFmtId="166" formatCode="#,##0;\(#,##0\)"/>
  </numFmts>
  <fonts count="48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ndara"/>
      <family val="2"/>
    </font>
    <font>
      <sz val="10.5"/>
      <color rgb="FF000000"/>
      <name val="Candara"/>
      <family val="2"/>
    </font>
    <font>
      <b/>
      <sz val="10.5"/>
      <color rgb="FFFFFFFF"/>
      <name val="Candara"/>
      <family val="2"/>
    </font>
    <font>
      <sz val="10.5"/>
      <color theme="1"/>
      <name val="Calibri"/>
      <family val="2"/>
      <scheme val="minor"/>
    </font>
    <font>
      <sz val="10.5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"/>
      <name val="Arial"/>
      <family val="2"/>
    </font>
    <font>
      <b/>
      <sz val="10.5"/>
      <color theme="0"/>
      <name val="Candara"/>
      <family val="2"/>
    </font>
    <font>
      <b/>
      <sz val="10.5"/>
      <color rgb="FF000000"/>
      <name val="Candara"/>
      <family val="2"/>
    </font>
    <font>
      <sz val="11"/>
      <color rgb="FF003399"/>
      <name val="Arial"/>
      <family val="2"/>
    </font>
    <font>
      <b/>
      <sz val="7.5"/>
      <color theme="1"/>
      <name val="Calibri"/>
      <family val="2"/>
      <scheme val="minor"/>
    </font>
    <font>
      <b/>
      <sz val="10"/>
      <color rgb="FF003399"/>
      <name val="Arial"/>
      <family val="2"/>
    </font>
    <font>
      <sz val="9"/>
      <color rgb="FF003366"/>
      <name val="Arial"/>
      <family val="2"/>
    </font>
    <font>
      <sz val="9"/>
      <color rgb="FF003399"/>
      <name val="Arial"/>
      <family val="2"/>
    </font>
    <font>
      <sz val="10"/>
      <color rgb="FFFFFFFF"/>
      <name val="Trebuchet MS"/>
      <family val="2"/>
    </font>
    <font>
      <sz val="8"/>
      <color rgb="FF000000"/>
      <name val="Trebuchet MS"/>
      <family val="2"/>
    </font>
    <font>
      <sz val="8"/>
      <color rgb="FFFFFFFF"/>
      <name val="Trebuchet MS"/>
      <family val="2"/>
    </font>
    <font>
      <b/>
      <sz val="12"/>
      <color rgb="FF3492D9"/>
      <name val="Calibri"/>
      <family val="2"/>
      <scheme val="minor"/>
    </font>
    <font>
      <sz val="12"/>
      <color rgb="FF3492D9"/>
      <name val="Calibri"/>
      <family val="2"/>
      <scheme val="minor"/>
    </font>
    <font>
      <sz val="10"/>
      <name val="Arial"/>
      <family val="2"/>
    </font>
    <font>
      <sz val="10"/>
      <color indexed="8"/>
      <name val="sansserif"/>
    </font>
    <font>
      <b/>
      <sz val="7"/>
      <color indexed="8"/>
      <name val="sansserif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7"/>
      <color indexed="8"/>
      <name val="sansserif"/>
    </font>
    <font>
      <b/>
      <sz val="10"/>
      <color indexed="8"/>
      <name val="Arial"/>
      <family val="2"/>
    </font>
    <font>
      <b/>
      <sz val="10"/>
      <color indexed="8"/>
      <name val="sansserif"/>
    </font>
    <font>
      <sz val="8"/>
      <color rgb="FF003399"/>
      <name val="Arial"/>
      <family val="2"/>
    </font>
    <font>
      <b/>
      <sz val="9"/>
      <name val="Calibri"/>
      <family val="2"/>
      <scheme val="minor"/>
    </font>
    <font>
      <b/>
      <sz val="10.5"/>
      <color theme="5"/>
      <name val="Calibri"/>
      <family val="2"/>
      <scheme val="minor"/>
    </font>
    <font>
      <i/>
      <sz val="10.5"/>
      <color theme="5"/>
      <name val="Calibri"/>
      <family val="2"/>
      <scheme val="minor"/>
    </font>
    <font>
      <b/>
      <i/>
      <sz val="10.5"/>
      <color theme="3"/>
      <name val="Calibri"/>
      <family val="2"/>
      <scheme val="minor"/>
    </font>
    <font>
      <b/>
      <sz val="10.5"/>
      <color theme="3"/>
      <name val="Calibri"/>
      <family val="2"/>
      <scheme val="minor"/>
    </font>
    <font>
      <i/>
      <sz val="10.5"/>
      <color theme="3"/>
      <name val="Calibri"/>
      <family val="2"/>
      <scheme val="minor"/>
    </font>
    <font>
      <sz val="11"/>
      <name val="Calibri"/>
      <family val="2"/>
      <scheme val="minor"/>
    </font>
    <font>
      <sz val="10.5"/>
      <name val="Candara"/>
      <family val="2"/>
    </font>
    <font>
      <sz val="10.5"/>
      <name val="Calibri"/>
      <family val="2"/>
      <scheme val="minor"/>
    </font>
    <font>
      <b/>
      <sz val="8"/>
      <color rgb="FF003366"/>
      <name val="Arial"/>
      <family val="2"/>
    </font>
    <font>
      <b/>
      <sz val="9"/>
      <color rgb="FF003366"/>
      <name val="Arial"/>
      <family val="2"/>
    </font>
    <font>
      <u/>
      <sz val="11"/>
      <color theme="10"/>
      <name val="Calibri"/>
      <family val="2"/>
      <scheme val="minor"/>
    </font>
    <font>
      <sz val="7"/>
      <color indexed="8"/>
      <name val="Arial"/>
      <family val="2"/>
    </font>
    <font>
      <b/>
      <sz val="12"/>
      <color rgb="FF00339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6E8FF"/>
        <bgColor indexed="64"/>
      </patternFill>
    </fill>
    <fill>
      <patternFill patternType="solid">
        <fgColor rgb="FF2F82C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4CEE0"/>
      </left>
      <right style="thin">
        <color rgb="FFC4CEE0"/>
      </right>
      <top/>
      <bottom style="thin">
        <color rgb="FFC4CEE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medium">
        <color theme="4"/>
      </right>
      <top style="thin">
        <color theme="4"/>
      </top>
      <bottom/>
      <diagonal/>
    </border>
    <border>
      <left style="medium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 style="medium">
        <color theme="4"/>
      </right>
      <top/>
      <bottom style="medium">
        <color theme="4"/>
      </bottom>
      <diagonal/>
    </border>
    <border>
      <left/>
      <right style="thin">
        <color theme="4"/>
      </right>
      <top/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/>
      <diagonal/>
    </border>
    <border>
      <left/>
      <right style="thin">
        <color theme="4"/>
      </right>
      <top style="medium">
        <color theme="4"/>
      </top>
      <bottom/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ashed">
        <color theme="4"/>
      </left>
      <right style="dashed">
        <color theme="4"/>
      </right>
      <top style="dashed">
        <color theme="4"/>
      </top>
      <bottom style="dashed">
        <color theme="4"/>
      </bottom>
      <diagonal/>
    </border>
    <border>
      <left style="dashed">
        <color theme="4"/>
      </left>
      <right/>
      <top style="dashed">
        <color theme="4"/>
      </top>
      <bottom style="dashed">
        <color theme="4"/>
      </bottom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 style="dashed">
        <color theme="4"/>
      </left>
      <right style="thin">
        <color theme="4"/>
      </right>
      <top style="dashed">
        <color theme="4"/>
      </top>
      <bottom style="dashed">
        <color theme="4"/>
      </bottom>
      <diagonal/>
    </border>
    <border>
      <left/>
      <right/>
      <top style="medium">
        <color rgb="FFEBF3FF"/>
      </top>
      <bottom/>
      <diagonal/>
    </border>
    <border>
      <left style="medium">
        <color rgb="FFD6E8FF"/>
      </left>
      <right style="medium">
        <color rgb="FFD6E8FF"/>
      </right>
      <top style="medium">
        <color rgb="FFD6E8FF"/>
      </top>
      <bottom style="medium">
        <color rgb="FFD6E8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EBF3FF"/>
      </top>
      <bottom/>
      <diagonal/>
    </border>
    <border>
      <left/>
      <right style="thin">
        <color rgb="FF000000"/>
      </right>
      <top style="medium">
        <color rgb="FFEBF3FF"/>
      </top>
      <bottom/>
      <diagonal/>
    </border>
    <border>
      <left style="thin">
        <color rgb="FF000000"/>
      </left>
      <right style="medium">
        <color rgb="FFD6E8FF"/>
      </right>
      <top style="medium">
        <color rgb="FFD6E8FF"/>
      </top>
      <bottom style="medium">
        <color rgb="FFD6E8FF"/>
      </bottom>
      <diagonal/>
    </border>
    <border>
      <left style="medium">
        <color rgb="FFD6E8FF"/>
      </left>
      <right style="thin">
        <color rgb="FF000000"/>
      </right>
      <top style="medium">
        <color rgb="FFD6E8FF"/>
      </top>
      <bottom style="medium">
        <color rgb="FFD6E8FF"/>
      </bottom>
      <diagonal/>
    </border>
    <border>
      <left style="thin">
        <color rgb="FF000000"/>
      </left>
      <right/>
      <top style="medium">
        <color rgb="FFEBF3FF"/>
      </top>
      <bottom style="thin">
        <color rgb="FF000000"/>
      </bottom>
      <diagonal/>
    </border>
    <border>
      <left/>
      <right style="thin">
        <color rgb="FF000000"/>
      </right>
      <top style="medium">
        <color rgb="FFEBF3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D6E8FF"/>
      </right>
      <top style="medium">
        <color rgb="FFD6E8FF"/>
      </top>
      <bottom style="thin">
        <color rgb="FF000000"/>
      </bottom>
      <diagonal/>
    </border>
    <border>
      <left style="medium">
        <color rgb="FFD6E8FF"/>
      </left>
      <right style="medium">
        <color rgb="FFD6E8FF"/>
      </right>
      <top style="medium">
        <color rgb="FFD6E8FF"/>
      </top>
      <bottom style="thin">
        <color rgb="FF000000"/>
      </bottom>
      <diagonal/>
    </border>
    <border>
      <left style="medium">
        <color rgb="FFD6E8FF"/>
      </left>
      <right style="thin">
        <color rgb="FF000000"/>
      </right>
      <top style="medium">
        <color rgb="FFD6E8FF"/>
      </top>
      <bottom style="thin">
        <color rgb="FF000000"/>
      </bottom>
      <diagonal/>
    </border>
    <border>
      <left style="medium">
        <color rgb="FFD6E8FF"/>
      </left>
      <right style="medium">
        <color rgb="FFD6E8FF"/>
      </right>
      <top style="medium">
        <color rgb="FFD6E8FF"/>
      </top>
      <bottom/>
      <diagonal/>
    </border>
    <border>
      <left style="medium">
        <color rgb="FFD6E8FF"/>
      </left>
      <right style="medium">
        <color rgb="FFD6E8FF"/>
      </right>
      <top/>
      <bottom style="medium">
        <color rgb="FFD6E8FF"/>
      </bottom>
      <diagonal/>
    </border>
    <border>
      <left style="thin">
        <color rgb="FF000000"/>
      </left>
      <right style="medium">
        <color rgb="FFD6E8FF"/>
      </right>
      <top style="medium">
        <color rgb="FFD6E8FF"/>
      </top>
      <bottom/>
      <diagonal/>
    </border>
    <border>
      <left style="medium">
        <color rgb="FFD6E8FF"/>
      </left>
      <right style="thin">
        <color rgb="FF000000"/>
      </right>
      <top style="medium">
        <color rgb="FFD6E8FF"/>
      </top>
      <bottom/>
      <diagonal/>
    </border>
    <border>
      <left style="thin">
        <color rgb="FF000000"/>
      </left>
      <right style="medium">
        <color rgb="FFD6E8FF"/>
      </right>
      <top/>
      <bottom style="medium">
        <color rgb="FFD6E8FF"/>
      </bottom>
      <diagonal/>
    </border>
    <border>
      <left style="medium">
        <color rgb="FFD6E8FF"/>
      </left>
      <right style="thin">
        <color rgb="FF000000"/>
      </right>
      <top/>
      <bottom style="medium">
        <color rgb="FFD6E8FF"/>
      </bottom>
      <diagonal/>
    </border>
    <border>
      <left/>
      <right/>
      <top style="medium">
        <color rgb="FFEBF3FF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D6E8FF"/>
      </bottom>
      <diagonal/>
    </border>
    <border>
      <left/>
      <right/>
      <top style="thin">
        <color rgb="FF000000"/>
      </top>
      <bottom style="medium">
        <color rgb="FFEBF3FF"/>
      </bottom>
      <diagonal/>
    </border>
    <border>
      <left/>
      <right style="thin">
        <color rgb="FF000000"/>
      </right>
      <top style="thin">
        <color rgb="FF000000"/>
      </top>
      <bottom style="medium">
        <color rgb="FFEBF3FF"/>
      </bottom>
      <diagonal/>
    </border>
    <border>
      <left style="thin">
        <color rgb="FF000000"/>
      </left>
      <right/>
      <top/>
      <bottom style="medium">
        <color rgb="FFEBF3FF"/>
      </bottom>
      <diagonal/>
    </border>
    <border>
      <left/>
      <right/>
      <top style="medium">
        <color rgb="FFEBF3FF"/>
      </top>
      <bottom style="medium">
        <color rgb="FFEBF3FF"/>
      </bottom>
      <diagonal/>
    </border>
    <border>
      <left/>
      <right style="thin">
        <color rgb="FF000000"/>
      </right>
      <top style="medium">
        <color rgb="FFEBF3FF"/>
      </top>
      <bottom style="medium">
        <color rgb="FFEBF3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theme="4"/>
      </right>
      <top/>
      <bottom/>
      <diagonal/>
    </border>
    <border>
      <left/>
      <right/>
      <top style="medium">
        <color theme="4"/>
      </top>
      <bottom/>
      <diagonal/>
    </border>
    <border>
      <left style="thin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 style="thin">
        <color theme="4"/>
      </top>
      <bottom/>
      <diagonal/>
    </border>
    <border>
      <left style="thin">
        <color rgb="FF000000"/>
      </left>
      <right style="medium">
        <color rgb="FFD6E8FF"/>
      </right>
      <top style="thin">
        <color rgb="FF000000"/>
      </top>
      <bottom style="medium">
        <color rgb="FFD6E8FF"/>
      </bottom>
      <diagonal/>
    </border>
    <border>
      <left style="medium">
        <color rgb="FFD6E8FF"/>
      </left>
      <right style="medium">
        <color rgb="FFD6E8FF"/>
      </right>
      <top style="thin">
        <color rgb="FF000000"/>
      </top>
      <bottom style="medium">
        <color rgb="FFD6E8FF"/>
      </bottom>
      <diagonal/>
    </border>
    <border>
      <left style="medium">
        <color rgb="FFD6E8FF"/>
      </left>
      <right style="thin">
        <color rgb="FF000000"/>
      </right>
      <top style="thin">
        <color rgb="FF000000"/>
      </top>
      <bottom style="medium">
        <color rgb="FFD6E8FF"/>
      </bottom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medium">
        <color theme="4"/>
      </bottom>
      <diagonal/>
    </border>
  </borders>
  <cellStyleXfs count="4">
    <xf numFmtId="0" fontId="0" fillId="0" borderId="0"/>
    <xf numFmtId="0" fontId="10" fillId="0" borderId="0"/>
    <xf numFmtId="0" fontId="23" fillId="0" borderId="0"/>
    <xf numFmtId="0" fontId="43" fillId="0" borderId="0" applyNumberFormat="0" applyFill="0" applyBorder="0" applyAlignment="0" applyProtection="0"/>
  </cellStyleXfs>
  <cellXfs count="402">
    <xf numFmtId="0" fontId="0" fillId="0" borderId="0" xfId="0"/>
    <xf numFmtId="49" fontId="2" fillId="6" borderId="9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right" vertical="center"/>
    </xf>
    <xf numFmtId="3" fontId="7" fillId="4" borderId="9" xfId="0" applyNumberFormat="1" applyFont="1" applyFill="1" applyBorder="1" applyAlignment="1">
      <alignment horizontal="right" vertical="center"/>
    </xf>
    <xf numFmtId="0" fontId="4" fillId="3" borderId="15" xfId="0" applyFont="1" applyFill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right" vertical="center"/>
    </xf>
    <xf numFmtId="49" fontId="4" fillId="3" borderId="6" xfId="0" applyNumberFormat="1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9" fontId="6" fillId="6" borderId="9" xfId="0" applyNumberFormat="1" applyFont="1" applyFill="1" applyBorder="1" applyAlignment="1">
      <alignment horizontal="left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165" fontId="12" fillId="0" borderId="6" xfId="0" applyNumberFormat="1" applyFont="1" applyBorder="1" applyAlignment="1">
      <alignment horizontal="right" vertical="center"/>
    </xf>
    <xf numFmtId="49" fontId="11" fillId="4" borderId="1" xfId="0" applyNumberFormat="1" applyFont="1" applyFill="1" applyBorder="1" applyAlignment="1">
      <alignment horizontal="center" vertical="center"/>
    </xf>
    <xf numFmtId="49" fontId="11" fillId="4" borderId="2" xfId="0" applyNumberFormat="1" applyFont="1" applyFill="1" applyBorder="1" applyAlignment="1">
      <alignment horizontal="center" vertical="center"/>
    </xf>
    <xf numFmtId="49" fontId="11" fillId="4" borderId="7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14" fontId="7" fillId="4" borderId="12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 wrapText="1"/>
    </xf>
    <xf numFmtId="3" fontId="7" fillId="4" borderId="11" xfId="0" applyNumberFormat="1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left" vertical="center"/>
    </xf>
    <xf numFmtId="3" fontId="7" fillId="4" borderId="16" xfId="0" applyNumberFormat="1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/>
    <xf numFmtId="0" fontId="15" fillId="0" borderId="0" xfId="0" applyFont="1" applyAlignment="1">
      <alignment vertical="center"/>
    </xf>
    <xf numFmtId="0" fontId="13" fillId="0" borderId="19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49" fontId="7" fillId="4" borderId="9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2" fontId="18" fillId="8" borderId="20" xfId="0" applyNumberFormat="1" applyFont="1" applyFill="1" applyBorder="1" applyAlignment="1">
      <alignment horizontal="center" vertical="center" wrapText="1"/>
    </xf>
    <xf numFmtId="2" fontId="18" fillId="8" borderId="21" xfId="0" applyNumberFormat="1" applyFont="1" applyFill="1" applyBorder="1" applyAlignment="1">
      <alignment vertical="center" wrapText="1"/>
    </xf>
    <xf numFmtId="49" fontId="19" fillId="0" borderId="22" xfId="0" applyNumberFormat="1" applyFont="1" applyFill="1" applyBorder="1" applyAlignment="1">
      <alignment horizontal="left" vertical="center" wrapText="1"/>
    </xf>
    <xf numFmtId="165" fontId="19" fillId="0" borderId="22" xfId="0" applyNumberFormat="1" applyFont="1" applyFill="1" applyBorder="1" applyAlignment="1">
      <alignment horizontal="right" vertical="center" wrapText="1"/>
    </xf>
    <xf numFmtId="164" fontId="20" fillId="8" borderId="20" xfId="0" applyNumberFormat="1" applyFont="1" applyFill="1" applyBorder="1" applyAlignment="1">
      <alignment horizontal="left" vertical="center" wrapText="1"/>
    </xf>
    <xf numFmtId="165" fontId="20" fillId="8" borderId="20" xfId="0" applyNumberFormat="1" applyFont="1" applyFill="1" applyBorder="1" applyAlignment="1">
      <alignment horizontal="right" vertical="center" wrapText="1"/>
    </xf>
    <xf numFmtId="49" fontId="7" fillId="4" borderId="16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horizontal="left" vertical="center"/>
    </xf>
    <xf numFmtId="164" fontId="20" fillId="8" borderId="23" xfId="0" applyNumberFormat="1" applyFont="1" applyFill="1" applyBorder="1" applyAlignment="1">
      <alignment vertical="center" wrapText="1"/>
    </xf>
    <xf numFmtId="1" fontId="18" fillId="0" borderId="0" xfId="0" applyNumberFormat="1" applyFont="1" applyFill="1" applyAlignment="1">
      <alignment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2"/>
    <xf numFmtId="0" fontId="24" fillId="9" borderId="0" xfId="2" applyFont="1" applyFill="1" applyBorder="1" applyAlignment="1">
      <alignment horizontal="left" vertical="top" wrapText="1"/>
    </xf>
    <xf numFmtId="166" fontId="25" fillId="9" borderId="24" xfId="2" applyNumberFormat="1" applyFont="1" applyFill="1" applyBorder="1" applyAlignment="1">
      <alignment horizontal="right" vertical="top" wrapText="1"/>
    </xf>
    <xf numFmtId="166" fontId="27" fillId="9" borderId="25" xfId="2" applyNumberFormat="1" applyFont="1" applyFill="1" applyBorder="1" applyAlignment="1">
      <alignment horizontal="right" vertical="top" wrapText="1"/>
    </xf>
    <xf numFmtId="0" fontId="26" fillId="9" borderId="27" xfId="2" applyFont="1" applyFill="1" applyBorder="1" applyAlignment="1">
      <alignment horizontal="center" vertical="center" wrapText="1"/>
    </xf>
    <xf numFmtId="0" fontId="26" fillId="9" borderId="28" xfId="2" applyFont="1" applyFill="1" applyBorder="1" applyAlignment="1">
      <alignment horizontal="center" vertical="center" wrapText="1"/>
    </xf>
    <xf numFmtId="0" fontId="29" fillId="9" borderId="0" xfId="2" applyFont="1" applyFill="1" applyBorder="1" applyAlignment="1">
      <alignment vertical="center" wrapText="1"/>
    </xf>
    <xf numFmtId="0" fontId="29" fillId="9" borderId="0" xfId="2" applyFont="1" applyFill="1" applyBorder="1" applyAlignment="1">
      <alignment vertical="top" wrapText="1"/>
    </xf>
    <xf numFmtId="0" fontId="26" fillId="9" borderId="29" xfId="2" applyFont="1" applyFill="1" applyBorder="1" applyAlignment="1">
      <alignment vertical="center" wrapText="1"/>
    </xf>
    <xf numFmtId="0" fontId="27" fillId="9" borderId="30" xfId="2" applyFont="1" applyFill="1" applyBorder="1" applyAlignment="1">
      <alignment vertical="top" wrapText="1"/>
    </xf>
    <xf numFmtId="166" fontId="27" fillId="9" borderId="30" xfId="2" applyNumberFormat="1" applyFont="1" applyFill="1" applyBorder="1" applyAlignment="1">
      <alignment vertical="top" wrapText="1"/>
    </xf>
    <xf numFmtId="0" fontId="27" fillId="9" borderId="32" xfId="2" applyFont="1" applyFill="1" applyBorder="1" applyAlignment="1">
      <alignment vertical="top" wrapText="1"/>
    </xf>
    <xf numFmtId="166" fontId="27" fillId="9" borderId="32" xfId="2" applyNumberFormat="1" applyFont="1" applyFill="1" applyBorder="1" applyAlignment="1">
      <alignment vertical="top" wrapText="1"/>
    </xf>
    <xf numFmtId="0" fontId="27" fillId="9" borderId="33" xfId="2" applyFont="1" applyFill="1" applyBorder="1" applyAlignment="1">
      <alignment vertical="top" wrapText="1"/>
    </xf>
    <xf numFmtId="166" fontId="27" fillId="9" borderId="33" xfId="2" applyNumberFormat="1" applyFont="1" applyFill="1" applyBorder="1" applyAlignment="1">
      <alignment vertical="top" wrapText="1"/>
    </xf>
    <xf numFmtId="0" fontId="26" fillId="9" borderId="30" xfId="2" applyFont="1" applyFill="1" applyBorder="1" applyAlignment="1">
      <alignment vertical="top" wrapText="1"/>
    </xf>
    <xf numFmtId="0" fontId="26" fillId="9" borderId="31" xfId="2" applyFont="1" applyFill="1" applyBorder="1" applyAlignment="1">
      <alignment vertical="top" wrapText="1"/>
    </xf>
    <xf numFmtId="166" fontId="25" fillId="9" borderId="30" xfId="2" applyNumberFormat="1" applyFont="1" applyFill="1" applyBorder="1" applyAlignment="1">
      <alignment vertical="top" wrapText="1"/>
    </xf>
    <xf numFmtId="0" fontId="24" fillId="9" borderId="0" xfId="2" applyFont="1" applyFill="1" applyBorder="1" applyAlignment="1">
      <alignment horizontal="left" vertical="top"/>
    </xf>
    <xf numFmtId="0" fontId="30" fillId="9" borderId="0" xfId="2" applyFont="1" applyFill="1" applyBorder="1" applyAlignment="1">
      <alignment vertical="top"/>
    </xf>
    <xf numFmtId="0" fontId="29" fillId="9" borderId="0" xfId="2" applyFont="1" applyFill="1" applyBorder="1" applyAlignment="1">
      <alignment vertical="center"/>
    </xf>
    <xf numFmtId="0" fontId="24" fillId="9" borderId="0" xfId="2" applyFont="1" applyFill="1" applyBorder="1" applyAlignment="1">
      <alignment vertical="top"/>
    </xf>
    <xf numFmtId="49" fontId="28" fillId="9" borderId="26" xfId="2" applyNumberFormat="1" applyFont="1" applyFill="1" applyBorder="1" applyAlignment="1">
      <alignment horizontal="left" vertical="top" wrapText="1"/>
    </xf>
    <xf numFmtId="2" fontId="18" fillId="8" borderId="2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/>
    </xf>
    <xf numFmtId="165" fontId="0" fillId="0" borderId="0" xfId="0" applyNumberFormat="1" applyAlignment="1">
      <alignment vertical="center"/>
    </xf>
    <xf numFmtId="0" fontId="31" fillId="0" borderId="0" xfId="0" applyFont="1"/>
    <xf numFmtId="0" fontId="0" fillId="0" borderId="0" xfId="0"/>
    <xf numFmtId="165" fontId="0" fillId="0" borderId="0" xfId="0" applyNumberFormat="1"/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49" fontId="7" fillId="4" borderId="17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33" fillId="5" borderId="10" xfId="0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49" fontId="6" fillId="6" borderId="9" xfId="0" applyNumberFormat="1" applyFont="1" applyFill="1" applyBorder="1" applyAlignment="1">
      <alignment horizontal="left" vertical="center"/>
    </xf>
    <xf numFmtId="49" fontId="32" fillId="0" borderId="0" xfId="0" applyNumberFormat="1" applyFont="1" applyAlignment="1">
      <alignment vertical="center"/>
    </xf>
    <xf numFmtId="49" fontId="36" fillId="5" borderId="9" xfId="0" applyNumberFormat="1" applyFont="1" applyFill="1" applyBorder="1" applyAlignment="1">
      <alignment vertical="center"/>
    </xf>
    <xf numFmtId="49" fontId="6" fillId="5" borderId="9" xfId="0" applyNumberFormat="1" applyFont="1" applyFill="1" applyBorder="1" applyAlignment="1">
      <alignment vertical="center"/>
    </xf>
    <xf numFmtId="49" fontId="6" fillId="6" borderId="9" xfId="0" applyNumberFormat="1" applyFont="1" applyFill="1" applyBorder="1" applyAlignment="1">
      <alignment horizontal="justify" vertical="center"/>
    </xf>
    <xf numFmtId="0" fontId="38" fillId="0" borderId="0" xfId="0" applyFont="1"/>
    <xf numFmtId="0" fontId="7" fillId="4" borderId="12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horizontal="justify" vertical="center" wrapText="1"/>
    </xf>
    <xf numFmtId="0" fontId="35" fillId="5" borderId="9" xfId="0" applyFont="1" applyFill="1" applyBorder="1" applyAlignment="1">
      <alignment vertical="center"/>
    </xf>
    <xf numFmtId="49" fontId="6" fillId="6" borderId="9" xfId="0" applyNumberFormat="1" applyFont="1" applyFill="1" applyBorder="1" applyAlignment="1">
      <alignment horizontal="left" vertical="center" wrapText="1"/>
    </xf>
    <xf numFmtId="0" fontId="37" fillId="5" borderId="9" xfId="0" applyFont="1" applyFill="1" applyBorder="1" applyAlignment="1">
      <alignment vertical="center"/>
    </xf>
    <xf numFmtId="0" fontId="35" fillId="5" borderId="1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 wrapText="1"/>
    </xf>
    <xf numFmtId="49" fontId="35" fillId="5" borderId="12" xfId="0" applyNumberFormat="1" applyFont="1" applyFill="1" applyBorder="1" applyAlignment="1">
      <alignment vertical="center"/>
    </xf>
    <xf numFmtId="49" fontId="33" fillId="5" borderId="10" xfId="0" applyNumberFormat="1" applyFont="1" applyFill="1" applyBorder="1" applyAlignment="1">
      <alignment vertical="center"/>
    </xf>
    <xf numFmtId="49" fontId="35" fillId="5" borderId="9" xfId="0" applyNumberFormat="1" applyFont="1" applyFill="1" applyBorder="1" applyAlignment="1">
      <alignment vertical="center"/>
    </xf>
    <xf numFmtId="49" fontId="35" fillId="5" borderId="9" xfId="0" applyNumberFormat="1" applyFont="1" applyFill="1" applyBorder="1" applyAlignment="1">
      <alignment horizontal="justify"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7" borderId="34" xfId="0" applyFont="1" applyFill="1" applyBorder="1" applyAlignment="1">
      <alignment vertical="center" wrapText="1"/>
    </xf>
    <xf numFmtId="0" fontId="16" fillId="7" borderId="37" xfId="0" applyFont="1" applyFill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7" fillId="4" borderId="44" xfId="0" applyFont="1" applyFill="1" applyBorder="1" applyAlignment="1">
      <alignment vertical="center"/>
    </xf>
    <xf numFmtId="0" fontId="16" fillId="7" borderId="46" xfId="0" applyFont="1" applyFill="1" applyBorder="1" applyAlignment="1">
      <alignment vertical="center" wrapText="1"/>
    </xf>
    <xf numFmtId="0" fontId="16" fillId="7" borderId="48" xfId="0" applyFont="1" applyFill="1" applyBorder="1" applyAlignment="1">
      <alignment vertical="center" wrapText="1"/>
    </xf>
    <xf numFmtId="0" fontId="17" fillId="0" borderId="34" xfId="0" applyFont="1" applyBorder="1" applyAlignment="1">
      <alignment vertical="center" wrapText="1"/>
    </xf>
    <xf numFmtId="0" fontId="17" fillId="0" borderId="39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49" fontId="7" fillId="4" borderId="17" xfId="0" applyNumberFormat="1" applyFont="1" applyFill="1" applyBorder="1" applyAlignment="1">
      <alignment horizontal="left" vertical="center"/>
    </xf>
    <xf numFmtId="3" fontId="7" fillId="4" borderId="17" xfId="0" applyNumberFormat="1" applyFont="1" applyFill="1" applyBorder="1" applyAlignment="1">
      <alignment horizontal="right" vertical="center"/>
    </xf>
    <xf numFmtId="0" fontId="33" fillId="5" borderId="34" xfId="0" applyFont="1" applyFill="1" applyBorder="1" applyAlignment="1">
      <alignment vertical="center"/>
    </xf>
    <xf numFmtId="0" fontId="33" fillId="5" borderId="35" xfId="0" applyFont="1" applyFill="1" applyBorder="1" applyAlignment="1">
      <alignment vertical="center"/>
    </xf>
    <xf numFmtId="0" fontId="34" fillId="5" borderId="37" xfId="0" applyFont="1" applyFill="1" applyBorder="1" applyAlignment="1">
      <alignment vertical="center"/>
    </xf>
    <xf numFmtId="0" fontId="33" fillId="5" borderId="9" xfId="0" applyFont="1" applyFill="1" applyBorder="1" applyAlignment="1">
      <alignment vertical="center"/>
    </xf>
    <xf numFmtId="0" fontId="35" fillId="5" borderId="37" xfId="0" applyFont="1" applyFill="1" applyBorder="1" applyAlignment="1">
      <alignment vertical="center"/>
    </xf>
    <xf numFmtId="0" fontId="17" fillId="6" borderId="37" xfId="0" applyFont="1" applyFill="1" applyBorder="1" applyAlignment="1">
      <alignment vertical="center" wrapText="1"/>
    </xf>
    <xf numFmtId="49" fontId="17" fillId="6" borderId="9" xfId="0" applyNumberFormat="1" applyFont="1" applyFill="1" applyBorder="1" applyAlignment="1">
      <alignment horizontal="left" vertical="center" wrapText="1"/>
    </xf>
    <xf numFmtId="165" fontId="17" fillId="6" borderId="9" xfId="0" applyNumberFormat="1" applyFont="1" applyFill="1" applyBorder="1" applyAlignment="1">
      <alignment vertical="center" wrapText="1"/>
    </xf>
    <xf numFmtId="165" fontId="17" fillId="6" borderId="38" xfId="0" applyNumberFormat="1" applyFont="1" applyFill="1" applyBorder="1" applyAlignment="1">
      <alignment vertical="center" wrapText="1"/>
    </xf>
    <xf numFmtId="0" fontId="34" fillId="5" borderId="9" xfId="0" applyFont="1" applyFill="1" applyBorder="1" applyAlignment="1">
      <alignment vertical="center"/>
    </xf>
    <xf numFmtId="0" fontId="33" fillId="5" borderId="37" xfId="0" applyFont="1" applyFill="1" applyBorder="1" applyAlignment="1">
      <alignment vertical="center"/>
    </xf>
    <xf numFmtId="0" fontId="17" fillId="6" borderId="39" xfId="0" applyFont="1" applyFill="1" applyBorder="1" applyAlignment="1">
      <alignment vertical="center" wrapText="1"/>
    </xf>
    <xf numFmtId="49" fontId="17" fillId="6" borderId="40" xfId="0" applyNumberFormat="1" applyFont="1" applyFill="1" applyBorder="1" applyAlignment="1">
      <alignment horizontal="left" vertical="center" wrapText="1"/>
    </xf>
    <xf numFmtId="165" fontId="17" fillId="6" borderId="40" xfId="0" applyNumberFormat="1" applyFont="1" applyFill="1" applyBorder="1" applyAlignment="1">
      <alignment vertical="center" wrapText="1"/>
    </xf>
    <xf numFmtId="165" fontId="17" fillId="6" borderId="41" xfId="0" applyNumberFormat="1" applyFont="1" applyFill="1" applyBorder="1" applyAlignment="1">
      <alignment vertical="center" wrapText="1"/>
    </xf>
    <xf numFmtId="0" fontId="0" fillId="0" borderId="0" xfId="0" applyFill="1"/>
    <xf numFmtId="0" fontId="6" fillId="0" borderId="0" xfId="0" applyFont="1" applyAlignment="1"/>
    <xf numFmtId="0" fontId="9" fillId="4" borderId="13" xfId="0" applyFont="1" applyFill="1" applyBorder="1" applyAlignment="1">
      <alignment vertical="center"/>
    </xf>
    <xf numFmtId="0" fontId="9" fillId="4" borderId="14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7" fillId="4" borderId="17" xfId="0" applyFont="1" applyFill="1" applyBorder="1" applyAlignment="1">
      <alignment horizontal="left" vertical="center"/>
    </xf>
    <xf numFmtId="0" fontId="7" fillId="4" borderId="51" xfId="0" applyFont="1" applyFill="1" applyBorder="1" applyAlignment="1">
      <alignment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vertical="center"/>
    </xf>
    <xf numFmtId="0" fontId="35" fillId="5" borderId="39" xfId="0" applyFont="1" applyFill="1" applyBorder="1" applyAlignment="1">
      <alignment vertical="center"/>
    </xf>
    <xf numFmtId="0" fontId="35" fillId="5" borderId="40" xfId="0" applyFont="1" applyFill="1" applyBorder="1" applyAlignment="1">
      <alignment vertical="center"/>
    </xf>
    <xf numFmtId="49" fontId="8" fillId="5" borderId="35" xfId="0" applyNumberFormat="1" applyFont="1" applyFill="1" applyBorder="1" applyAlignment="1">
      <alignment vertical="center"/>
    </xf>
    <xf numFmtId="0" fontId="6" fillId="5" borderId="37" xfId="0" applyFont="1" applyFill="1" applyBorder="1" applyAlignment="1">
      <alignment horizontal="left" vertical="center"/>
    </xf>
    <xf numFmtId="0" fontId="33" fillId="5" borderId="39" xfId="0" applyFont="1" applyFill="1" applyBorder="1" applyAlignment="1">
      <alignment vertical="center"/>
    </xf>
    <xf numFmtId="49" fontId="6" fillId="5" borderId="4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5" fontId="7" fillId="4" borderId="12" xfId="0" applyNumberFormat="1" applyFont="1" applyFill="1" applyBorder="1" applyAlignment="1">
      <alignment horizontal="center" vertical="center"/>
    </xf>
    <xf numFmtId="165" fontId="7" fillId="4" borderId="18" xfId="0" applyNumberFormat="1" applyFont="1" applyFill="1" applyBorder="1" applyAlignment="1">
      <alignment horizontal="center" vertical="center"/>
    </xf>
    <xf numFmtId="165" fontId="35" fillId="5" borderId="38" xfId="0" applyNumberFormat="1" applyFont="1" applyFill="1" applyBorder="1" applyAlignment="1">
      <alignment vertical="center"/>
    </xf>
    <xf numFmtId="165" fontId="6" fillId="0" borderId="0" xfId="0" applyNumberFormat="1" applyFont="1" applyAlignment="1">
      <alignment horizontal="right" vertical="center"/>
    </xf>
    <xf numFmtId="165" fontId="8" fillId="5" borderId="35" xfId="0" applyNumberFormat="1" applyFont="1" applyFill="1" applyBorder="1" applyAlignment="1">
      <alignment horizontal="right" vertical="center"/>
    </xf>
    <xf numFmtId="165" fontId="6" fillId="5" borderId="9" xfId="0" applyNumberFormat="1" applyFont="1" applyFill="1" applyBorder="1" applyAlignment="1">
      <alignment horizontal="right" vertical="center"/>
    </xf>
    <xf numFmtId="165" fontId="36" fillId="5" borderId="9" xfId="0" applyNumberFormat="1" applyFont="1" applyFill="1" applyBorder="1" applyAlignment="1">
      <alignment horizontal="right" vertical="center"/>
    </xf>
    <xf numFmtId="165" fontId="6" fillId="6" borderId="9" xfId="0" applyNumberFormat="1" applyFont="1" applyFill="1" applyBorder="1" applyAlignment="1">
      <alignment horizontal="right" vertical="center"/>
    </xf>
    <xf numFmtId="165" fontId="6" fillId="5" borderId="40" xfId="0" applyNumberFormat="1" applyFont="1" applyFill="1" applyBorder="1" applyAlignment="1">
      <alignment horizontal="right" vertical="center"/>
    </xf>
    <xf numFmtId="165" fontId="6" fillId="0" borderId="0" xfId="0" applyNumberFormat="1" applyFont="1" applyBorder="1" applyAlignment="1">
      <alignment horizontal="right" vertical="center"/>
    </xf>
    <xf numFmtId="165" fontId="6" fillId="6" borderId="38" xfId="0" applyNumberFormat="1" applyFont="1" applyFill="1" applyBorder="1" applyAlignment="1">
      <alignment horizontal="right" vertical="center"/>
    </xf>
    <xf numFmtId="165" fontId="35" fillId="5" borderId="38" xfId="0" applyNumberFormat="1" applyFont="1" applyFill="1" applyBorder="1" applyAlignment="1">
      <alignment horizontal="right" vertical="center"/>
    </xf>
    <xf numFmtId="165" fontId="6" fillId="5" borderId="41" xfId="0" applyNumberFormat="1" applyFont="1" applyFill="1" applyBorder="1" applyAlignment="1">
      <alignment horizontal="right" vertical="center"/>
    </xf>
    <xf numFmtId="165" fontId="7" fillId="4" borderId="12" xfId="0" applyNumberFormat="1" applyFont="1" applyFill="1" applyBorder="1" applyAlignment="1">
      <alignment horizontal="justify" vertical="center"/>
    </xf>
    <xf numFmtId="165" fontId="7" fillId="4" borderId="18" xfId="0" applyNumberFormat="1" applyFont="1" applyFill="1" applyBorder="1" applyAlignment="1">
      <alignment horizontal="justify" vertical="center"/>
    </xf>
    <xf numFmtId="3" fontId="6" fillId="0" borderId="0" xfId="0" applyNumberFormat="1" applyFont="1" applyAlignment="1">
      <alignment horizontal="right" vertical="center"/>
    </xf>
    <xf numFmtId="3" fontId="33" fillId="5" borderId="10" xfId="0" applyNumberFormat="1" applyFont="1" applyFill="1" applyBorder="1" applyAlignment="1">
      <alignment horizontal="right" vertical="center"/>
    </xf>
    <xf numFmtId="3" fontId="35" fillId="5" borderId="9" xfId="0" applyNumberFormat="1" applyFont="1" applyFill="1" applyBorder="1" applyAlignment="1">
      <alignment horizontal="right" vertical="center"/>
    </xf>
    <xf numFmtId="3" fontId="6" fillId="6" borderId="9" xfId="0" applyNumberFormat="1" applyFont="1" applyFill="1" applyBorder="1" applyAlignment="1">
      <alignment horizontal="right" vertical="center" wrapText="1"/>
    </xf>
    <xf numFmtId="3" fontId="37" fillId="5" borderId="9" xfId="0" applyNumberFormat="1" applyFont="1" applyFill="1" applyBorder="1" applyAlignment="1">
      <alignment horizontal="right" vertical="center"/>
    </xf>
    <xf numFmtId="3" fontId="7" fillId="4" borderId="9" xfId="0" applyNumberFormat="1" applyFont="1" applyFill="1" applyBorder="1" applyAlignment="1">
      <alignment horizontal="right" vertical="center" wrapText="1"/>
    </xf>
    <xf numFmtId="3" fontId="7" fillId="4" borderId="10" xfId="0" applyNumberFormat="1" applyFont="1" applyFill="1" applyBorder="1" applyAlignment="1">
      <alignment horizontal="right" vertical="center" wrapText="1"/>
    </xf>
    <xf numFmtId="3" fontId="7" fillId="4" borderId="9" xfId="0" applyNumberFormat="1" applyFont="1" applyFill="1" applyBorder="1" applyAlignment="1">
      <alignment horizontal="justify" vertical="center"/>
    </xf>
    <xf numFmtId="3" fontId="7" fillId="4" borderId="10" xfId="0" applyNumberFormat="1" applyFont="1" applyFill="1" applyBorder="1" applyAlignment="1">
      <alignment horizontal="justify" vertical="center"/>
    </xf>
    <xf numFmtId="165" fontId="35" fillId="5" borderId="9" xfId="0" applyNumberFormat="1" applyFont="1" applyFill="1" applyBorder="1" applyAlignment="1">
      <alignment vertical="center"/>
    </xf>
    <xf numFmtId="165" fontId="33" fillId="5" borderId="10" xfId="0" applyNumberFormat="1" applyFont="1" applyFill="1" applyBorder="1" applyAlignment="1">
      <alignment horizontal="right" vertical="center"/>
    </xf>
    <xf numFmtId="165" fontId="35" fillId="5" borderId="12" xfId="0" applyNumberFormat="1" applyFont="1" applyFill="1" applyBorder="1" applyAlignment="1">
      <alignment horizontal="right" vertical="center"/>
    </xf>
    <xf numFmtId="165" fontId="6" fillId="6" borderId="9" xfId="0" applyNumberFormat="1" applyFont="1" applyFill="1" applyBorder="1" applyAlignment="1">
      <alignment horizontal="right" vertical="center" wrapText="1"/>
    </xf>
    <xf numFmtId="165" fontId="2" fillId="6" borderId="9" xfId="0" applyNumberFormat="1" applyFont="1" applyFill="1" applyBorder="1" applyAlignment="1">
      <alignment horizontal="right" vertical="center" wrapText="1"/>
    </xf>
    <xf numFmtId="165" fontId="35" fillId="5" borderId="9" xfId="0" applyNumberFormat="1" applyFont="1" applyFill="1" applyBorder="1" applyAlignment="1">
      <alignment horizontal="right" vertical="center"/>
    </xf>
    <xf numFmtId="0" fontId="3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1" fillId="4" borderId="3" xfId="0" applyFont="1" applyFill="1" applyBorder="1" applyAlignment="1">
      <alignment horizontal="left" vertical="center"/>
    </xf>
    <xf numFmtId="0" fontId="39" fillId="0" borderId="54" xfId="0" applyFont="1" applyBorder="1" applyAlignment="1">
      <alignment vertical="center"/>
    </xf>
    <xf numFmtId="49" fontId="39" fillId="0" borderId="54" xfId="0" applyNumberFormat="1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165" fontId="8" fillId="5" borderId="36" xfId="0" applyNumberFormat="1" applyFont="1" applyFill="1" applyBorder="1" applyAlignment="1">
      <alignment horizontal="right" vertical="center"/>
    </xf>
    <xf numFmtId="165" fontId="34" fillId="5" borderId="9" xfId="0" applyNumberFormat="1" applyFont="1" applyFill="1" applyBorder="1" applyAlignment="1">
      <alignment vertical="center"/>
    </xf>
    <xf numFmtId="165" fontId="34" fillId="5" borderId="38" xfId="0" applyNumberFormat="1" applyFont="1" applyFill="1" applyBorder="1" applyAlignment="1">
      <alignment vertical="center"/>
    </xf>
    <xf numFmtId="0" fontId="33" fillId="5" borderId="40" xfId="0" applyFont="1" applyFill="1" applyBorder="1" applyAlignment="1">
      <alignment vertical="center"/>
    </xf>
    <xf numFmtId="165" fontId="33" fillId="5" borderId="40" xfId="0" applyNumberFormat="1" applyFont="1" applyFill="1" applyBorder="1" applyAlignment="1">
      <alignment vertical="center"/>
    </xf>
    <xf numFmtId="165" fontId="33" fillId="5" borderId="41" xfId="0" applyNumberFormat="1" applyFont="1" applyFill="1" applyBorder="1" applyAlignment="1">
      <alignment vertical="center"/>
    </xf>
    <xf numFmtId="49" fontId="32" fillId="0" borderId="55" xfId="0" applyNumberFormat="1" applyFont="1" applyBorder="1" applyAlignment="1">
      <alignment vertical="center"/>
    </xf>
    <xf numFmtId="49" fontId="32" fillId="0" borderId="56" xfId="0" applyNumberFormat="1" applyFont="1" applyBorder="1" applyAlignment="1">
      <alignment vertical="center"/>
    </xf>
    <xf numFmtId="49" fontId="7" fillId="4" borderId="52" xfId="0" applyNumberFormat="1" applyFont="1" applyFill="1" applyBorder="1" applyAlignment="1">
      <alignment vertical="center"/>
    </xf>
    <xf numFmtId="165" fontId="7" fillId="4" borderId="35" xfId="0" applyNumberFormat="1" applyFont="1" applyFill="1" applyBorder="1" applyAlignment="1">
      <alignment horizontal="right" vertical="center"/>
    </xf>
    <xf numFmtId="165" fontId="7" fillId="4" borderId="36" xfId="0" applyNumberFormat="1" applyFont="1" applyFill="1" applyBorder="1" applyAlignment="1">
      <alignment horizontal="right" vertical="center"/>
    </xf>
    <xf numFmtId="0" fontId="7" fillId="4" borderId="57" xfId="0" applyFont="1" applyFill="1" applyBorder="1" applyAlignment="1">
      <alignment vertical="center"/>
    </xf>
    <xf numFmtId="165" fontId="7" fillId="4" borderId="47" xfId="0" applyNumberFormat="1" applyFont="1" applyFill="1" applyBorder="1" applyAlignment="1">
      <alignment horizontal="justify" vertical="center"/>
    </xf>
    <xf numFmtId="0" fontId="9" fillId="4" borderId="58" xfId="0" applyFont="1" applyFill="1" applyBorder="1" applyAlignment="1">
      <alignment vertical="center"/>
    </xf>
    <xf numFmtId="49" fontId="9" fillId="4" borderId="50" xfId="0" applyNumberFormat="1" applyFont="1" applyFill="1" applyBorder="1" applyAlignment="1">
      <alignment vertical="center"/>
    </xf>
    <xf numFmtId="165" fontId="9" fillId="4" borderId="59" xfId="0" applyNumberFormat="1" applyFont="1" applyFill="1" applyBorder="1" applyAlignment="1">
      <alignment horizontal="right" vertical="center"/>
    </xf>
    <xf numFmtId="165" fontId="9" fillId="4" borderId="50" xfId="0" applyNumberFormat="1" applyFont="1" applyFill="1" applyBorder="1" applyAlignment="1">
      <alignment horizontal="right" vertical="center"/>
    </xf>
    <xf numFmtId="165" fontId="9" fillId="4" borderId="49" xfId="0" applyNumberFormat="1" applyFont="1" applyFill="1" applyBorder="1" applyAlignment="1">
      <alignment horizontal="right" vertical="center"/>
    </xf>
    <xf numFmtId="49" fontId="0" fillId="0" borderId="0" xfId="0" applyNumberFormat="1"/>
    <xf numFmtId="49" fontId="38" fillId="0" borderId="0" xfId="0" applyNumberFormat="1" applyFont="1"/>
    <xf numFmtId="49" fontId="38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49" fontId="0" fillId="0" borderId="55" xfId="0" applyNumberFormat="1" applyBorder="1" applyAlignment="1">
      <alignment vertical="center"/>
    </xf>
    <xf numFmtId="49" fontId="38" fillId="0" borderId="60" xfId="0" applyNumberFormat="1" applyFont="1" applyBorder="1" applyAlignment="1">
      <alignment vertical="center"/>
    </xf>
    <xf numFmtId="49" fontId="0" fillId="0" borderId="56" xfId="0" applyNumberFormat="1" applyBorder="1" applyAlignment="1">
      <alignment vertical="center"/>
    </xf>
    <xf numFmtId="165" fontId="13" fillId="0" borderId="0" xfId="0" applyNumberFormat="1" applyFont="1" applyAlignment="1">
      <alignment vertical="center" wrapText="1"/>
    </xf>
    <xf numFmtId="165" fontId="15" fillId="0" borderId="0" xfId="0" applyNumberFormat="1" applyFont="1" applyAlignment="1">
      <alignment vertical="center" wrapText="1"/>
    </xf>
    <xf numFmtId="165" fontId="33" fillId="5" borderId="35" xfId="0" applyNumberFormat="1" applyFont="1" applyFill="1" applyBorder="1" applyAlignment="1">
      <alignment vertical="center"/>
    </xf>
    <xf numFmtId="165" fontId="33" fillId="5" borderId="36" xfId="0" applyNumberFormat="1" applyFont="1" applyFill="1" applyBorder="1" applyAlignment="1">
      <alignment vertical="center"/>
    </xf>
    <xf numFmtId="165" fontId="17" fillId="6" borderId="9" xfId="0" applyNumberFormat="1" applyFont="1" applyFill="1" applyBorder="1" applyAlignment="1">
      <alignment horizontal="right" vertical="center" wrapText="1"/>
    </xf>
    <xf numFmtId="165" fontId="33" fillId="5" borderId="9" xfId="0" applyNumberFormat="1" applyFont="1" applyFill="1" applyBorder="1" applyAlignment="1">
      <alignment vertical="center"/>
    </xf>
    <xf numFmtId="165" fontId="33" fillId="5" borderId="38" xfId="0" applyNumberFormat="1" applyFont="1" applyFill="1" applyBorder="1" applyAlignment="1">
      <alignment vertical="center"/>
    </xf>
    <xf numFmtId="165" fontId="17" fillId="6" borderId="40" xfId="0" applyNumberFormat="1" applyFont="1" applyFill="1" applyBorder="1" applyAlignment="1">
      <alignment horizontal="right" vertical="center" wrapText="1"/>
    </xf>
    <xf numFmtId="165" fontId="7" fillId="4" borderId="17" xfId="0" applyNumberFormat="1" applyFont="1" applyFill="1" applyBorder="1" applyAlignment="1">
      <alignment horizontal="right" vertical="center"/>
    </xf>
    <xf numFmtId="165" fontId="7" fillId="4" borderId="16" xfId="0" applyNumberFormat="1" applyFont="1" applyFill="1" applyBorder="1" applyAlignment="1">
      <alignment horizontal="right" vertical="center"/>
    </xf>
    <xf numFmtId="165" fontId="7" fillId="4" borderId="11" xfId="0" applyNumberFormat="1" applyFont="1" applyFill="1" applyBorder="1" applyAlignment="1">
      <alignment horizontal="right" vertical="center"/>
    </xf>
    <xf numFmtId="49" fontId="40" fillId="0" borderId="0" xfId="0" applyNumberFormat="1" applyFont="1"/>
    <xf numFmtId="165" fontId="33" fillId="5" borderId="35" xfId="0" applyNumberFormat="1" applyFont="1" applyFill="1" applyBorder="1" applyAlignment="1">
      <alignment horizontal="right" vertical="center"/>
    </xf>
    <xf numFmtId="165" fontId="33" fillId="5" borderId="36" xfId="0" applyNumberFormat="1" applyFont="1" applyFill="1" applyBorder="1" applyAlignment="1">
      <alignment horizontal="right" vertical="center"/>
    </xf>
    <xf numFmtId="165" fontId="6" fillId="6" borderId="9" xfId="0" applyNumberFormat="1" applyFont="1" applyFill="1" applyBorder="1" applyAlignment="1">
      <alignment horizontal="right"/>
    </xf>
    <xf numFmtId="165" fontId="6" fillId="6" borderId="38" xfId="0" applyNumberFormat="1" applyFont="1" applyFill="1" applyBorder="1" applyAlignment="1">
      <alignment horizontal="right"/>
    </xf>
    <xf numFmtId="165" fontId="33" fillId="5" borderId="9" xfId="0" applyNumberFormat="1" applyFont="1" applyFill="1" applyBorder="1" applyAlignment="1">
      <alignment horizontal="right" vertical="center"/>
    </xf>
    <xf numFmtId="165" fontId="33" fillId="5" borderId="38" xfId="0" applyNumberFormat="1" applyFont="1" applyFill="1" applyBorder="1" applyAlignment="1">
      <alignment horizontal="right" vertical="center"/>
    </xf>
    <xf numFmtId="165" fontId="6" fillId="5" borderId="38" xfId="0" applyNumberFormat="1" applyFont="1" applyFill="1" applyBorder="1" applyAlignment="1">
      <alignment horizontal="right" vertical="center"/>
    </xf>
    <xf numFmtId="165" fontId="35" fillId="5" borderId="40" xfId="0" applyNumberFormat="1" applyFont="1" applyFill="1" applyBorder="1" applyAlignment="1">
      <alignment horizontal="right" vertical="center"/>
    </xf>
    <xf numFmtId="165" fontId="35" fillId="5" borderId="41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41" fillId="7" borderId="64" xfId="0" applyFont="1" applyFill="1" applyBorder="1" applyAlignment="1">
      <alignment horizontal="center" vertical="center" wrapText="1"/>
    </xf>
    <xf numFmtId="0" fontId="42" fillId="7" borderId="65" xfId="0" applyFont="1" applyFill="1" applyBorder="1" applyAlignment="1">
      <alignment vertical="center" wrapText="1"/>
    </xf>
    <xf numFmtId="0" fontId="16" fillId="7" borderId="65" xfId="0" applyFont="1" applyFill="1" applyBorder="1" applyAlignment="1">
      <alignment vertical="center" wrapText="1"/>
    </xf>
    <xf numFmtId="0" fontId="17" fillId="0" borderId="67" xfId="0" applyFont="1" applyBorder="1" applyAlignment="1">
      <alignment vertical="center" wrapText="1"/>
    </xf>
    <xf numFmtId="0" fontId="42" fillId="7" borderId="65" xfId="0" applyFont="1" applyFill="1" applyBorder="1" applyAlignment="1">
      <alignment horizontal="center" vertical="center" wrapText="1"/>
    </xf>
    <xf numFmtId="0" fontId="42" fillId="7" borderId="69" xfId="0" applyFont="1" applyFill="1" applyBorder="1" applyAlignment="1">
      <alignment horizontal="center" vertical="center" wrapText="1"/>
    </xf>
    <xf numFmtId="165" fontId="16" fillId="7" borderId="66" xfId="0" applyNumberFormat="1" applyFont="1" applyFill="1" applyBorder="1" applyAlignment="1">
      <alignment horizontal="right" vertical="center" wrapText="1"/>
    </xf>
    <xf numFmtId="165" fontId="17" fillId="0" borderId="68" xfId="0" applyNumberFormat="1" applyFont="1" applyBorder="1" applyAlignment="1">
      <alignment horizontal="right" vertical="center" wrapText="1"/>
    </xf>
    <xf numFmtId="165" fontId="16" fillId="7" borderId="70" xfId="0" applyNumberFormat="1" applyFont="1" applyFill="1" applyBorder="1" applyAlignment="1">
      <alignment horizontal="right" vertical="center" wrapText="1"/>
    </xf>
    <xf numFmtId="0" fontId="16" fillId="7" borderId="63" xfId="0" applyFont="1" applyFill="1" applyBorder="1" applyAlignment="1">
      <alignment vertical="center" wrapText="1"/>
    </xf>
    <xf numFmtId="0" fontId="43" fillId="7" borderId="65" xfId="3" applyFill="1" applyBorder="1" applyAlignment="1">
      <alignment vertical="center" wrapText="1"/>
    </xf>
    <xf numFmtId="0" fontId="17" fillId="0" borderId="72" xfId="0" applyFont="1" applyBorder="1" applyAlignment="1">
      <alignment vertical="center" wrapText="1"/>
    </xf>
    <xf numFmtId="165" fontId="16" fillId="7" borderId="71" xfId="0" applyNumberFormat="1" applyFont="1" applyFill="1" applyBorder="1" applyAlignment="1">
      <alignment vertical="center" wrapText="1"/>
    </xf>
    <xf numFmtId="165" fontId="16" fillId="7" borderId="64" xfId="0" applyNumberFormat="1" applyFont="1" applyFill="1" applyBorder="1" applyAlignment="1">
      <alignment horizontal="right" vertical="center" wrapText="1"/>
    </xf>
    <xf numFmtId="165" fontId="16" fillId="7" borderId="61" xfId="0" applyNumberFormat="1" applyFont="1" applyFill="1" applyBorder="1" applyAlignment="1">
      <alignment vertical="center" wrapText="1"/>
    </xf>
    <xf numFmtId="165" fontId="16" fillId="7" borderId="61" xfId="0" applyNumberFormat="1" applyFont="1" applyFill="1" applyBorder="1" applyAlignment="1">
      <alignment horizontal="right" vertical="center" wrapText="1"/>
    </xf>
    <xf numFmtId="165" fontId="17" fillId="0" borderId="62" xfId="0" applyNumberFormat="1" applyFont="1" applyBorder="1" applyAlignment="1">
      <alignment horizontal="right" vertical="center" wrapText="1"/>
    </xf>
    <xf numFmtId="165" fontId="17" fillId="0" borderId="68" xfId="0" applyNumberFormat="1" applyFont="1" applyBorder="1" applyAlignment="1">
      <alignment vertical="center" wrapText="1"/>
    </xf>
    <xf numFmtId="165" fontId="17" fillId="0" borderId="74" xfId="0" applyNumberFormat="1" applyFont="1" applyBorder="1" applyAlignment="1">
      <alignment horizontal="right" vertical="center" wrapText="1"/>
    </xf>
    <xf numFmtId="165" fontId="17" fillId="0" borderId="73" xfId="0" applyNumberFormat="1" applyFont="1" applyBorder="1" applyAlignment="1">
      <alignment horizontal="right" vertical="center" wrapText="1"/>
    </xf>
    <xf numFmtId="165" fontId="17" fillId="0" borderId="74" xfId="0" applyNumberFormat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3" fontId="0" fillId="0" borderId="0" xfId="0" applyNumberFormat="1" applyAlignment="1">
      <alignment vertical="center"/>
    </xf>
    <xf numFmtId="0" fontId="42" fillId="7" borderId="63" xfId="0" applyFont="1" applyFill="1" applyBorder="1" applyAlignment="1">
      <alignment vertical="center" wrapText="1"/>
    </xf>
    <xf numFmtId="0" fontId="16" fillId="7" borderId="69" xfId="0" applyFont="1" applyFill="1" applyBorder="1" applyAlignment="1">
      <alignment vertical="center" wrapText="1"/>
    </xf>
    <xf numFmtId="165" fontId="16" fillId="7" borderId="71" xfId="0" applyNumberFormat="1" applyFont="1" applyFill="1" applyBorder="1" applyAlignment="1">
      <alignment horizontal="right" vertical="center" wrapText="1"/>
    </xf>
    <xf numFmtId="165" fontId="16" fillId="7" borderId="81" xfId="0" applyNumberFormat="1" applyFont="1" applyFill="1" applyBorder="1" applyAlignment="1">
      <alignment horizontal="right" vertical="center" wrapText="1"/>
    </xf>
    <xf numFmtId="0" fontId="16" fillId="7" borderId="61" xfId="0" applyFont="1" applyFill="1" applyBorder="1" applyAlignment="1">
      <alignment horizontal="center" vertical="center" wrapText="1"/>
    </xf>
    <xf numFmtId="0" fontId="16" fillId="7" borderId="66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vertical="center" wrapText="1"/>
    </xf>
    <xf numFmtId="165" fontId="16" fillId="7" borderId="0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41" fillId="7" borderId="63" xfId="0" applyFont="1" applyFill="1" applyBorder="1" applyAlignment="1">
      <alignment horizontal="center" vertical="center" wrapText="1"/>
    </xf>
    <xf numFmtId="165" fontId="0" fillId="0" borderId="88" xfId="0" applyNumberFormat="1" applyBorder="1" applyAlignment="1">
      <alignment horizontal="right" vertical="center"/>
    </xf>
    <xf numFmtId="3" fontId="6" fillId="10" borderId="9" xfId="0" applyNumberFormat="1" applyFont="1" applyFill="1" applyBorder="1" applyAlignment="1">
      <alignment horizontal="right" vertical="center" wrapText="1"/>
    </xf>
    <xf numFmtId="3" fontId="19" fillId="0" borderId="22" xfId="1" applyNumberFormat="1" applyFont="1" applyFill="1" applyBorder="1" applyAlignment="1">
      <alignment horizontal="left" vertical="center" wrapText="1"/>
    </xf>
    <xf numFmtId="3" fontId="19" fillId="0" borderId="22" xfId="1" applyNumberFormat="1" applyFont="1" applyFill="1" applyBorder="1" applyAlignment="1">
      <alignment horizontal="right" vertical="center" wrapText="1"/>
    </xf>
    <xf numFmtId="0" fontId="19" fillId="0" borderId="22" xfId="1" applyNumberFormat="1" applyFont="1" applyFill="1" applyBorder="1" applyAlignment="1">
      <alignment horizontal="right" vertical="center" wrapText="1"/>
    </xf>
    <xf numFmtId="0" fontId="17" fillId="0" borderId="89" xfId="0" applyFont="1" applyBorder="1" applyAlignment="1">
      <alignment vertical="center" wrapText="1"/>
    </xf>
    <xf numFmtId="165" fontId="17" fillId="0" borderId="90" xfId="0" applyNumberFormat="1" applyFont="1" applyBorder="1" applyAlignment="1">
      <alignment horizontal="right" vertical="center" wrapText="1"/>
    </xf>
    <xf numFmtId="165" fontId="16" fillId="7" borderId="61" xfId="0" applyNumberFormat="1" applyFont="1" applyFill="1" applyBorder="1" applyAlignment="1">
      <alignment horizontal="center" vertical="center" wrapText="1"/>
    </xf>
    <xf numFmtId="165" fontId="16" fillId="7" borderId="66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/>
    </xf>
    <xf numFmtId="165" fontId="16" fillId="7" borderId="66" xfId="0" applyNumberFormat="1" applyFont="1" applyFill="1" applyBorder="1" applyAlignment="1">
      <alignment vertical="center" wrapText="1"/>
    </xf>
    <xf numFmtId="165" fontId="17" fillId="0" borderId="62" xfId="0" applyNumberFormat="1" applyFont="1" applyBorder="1" applyAlignment="1">
      <alignment vertical="center" wrapText="1"/>
    </xf>
    <xf numFmtId="165" fontId="17" fillId="0" borderId="73" xfId="0" applyNumberFormat="1" applyFont="1" applyBorder="1" applyAlignment="1">
      <alignment vertical="center" wrapText="1"/>
    </xf>
    <xf numFmtId="165" fontId="16" fillId="7" borderId="63" xfId="0" applyNumberFormat="1" applyFont="1" applyFill="1" applyBorder="1" applyAlignment="1">
      <alignment vertical="center" wrapText="1"/>
    </xf>
    <xf numFmtId="165" fontId="17" fillId="0" borderId="67" xfId="0" applyNumberFormat="1" applyFont="1" applyBorder="1" applyAlignment="1">
      <alignment vertical="center" wrapText="1"/>
    </xf>
    <xf numFmtId="165" fontId="16" fillId="7" borderId="65" xfId="0" applyNumberFormat="1" applyFont="1" applyFill="1" applyBorder="1" applyAlignment="1">
      <alignment vertical="center" wrapText="1"/>
    </xf>
    <xf numFmtId="165" fontId="17" fillId="0" borderId="72" xfId="0" applyNumberFormat="1" applyFont="1" applyBorder="1" applyAlignment="1">
      <alignment vertical="center" wrapText="1"/>
    </xf>
    <xf numFmtId="0" fontId="33" fillId="5" borderId="10" xfId="0" applyFont="1" applyFill="1" applyBorder="1" applyAlignment="1">
      <alignment horizontal="justify" vertical="center"/>
    </xf>
    <xf numFmtId="0" fontId="13" fillId="0" borderId="0" xfId="0" applyFont="1" applyAlignment="1">
      <alignment vertical="center" wrapText="1"/>
    </xf>
    <xf numFmtId="0" fontId="16" fillId="7" borderId="53" xfId="0" applyFont="1" applyFill="1" applyBorder="1" applyAlignment="1">
      <alignment vertical="center" wrapText="1"/>
    </xf>
    <xf numFmtId="0" fontId="16" fillId="7" borderId="94" xfId="0" applyFont="1" applyFill="1" applyBorder="1" applyAlignment="1">
      <alignment vertical="center" wrapText="1"/>
    </xf>
    <xf numFmtId="0" fontId="16" fillId="7" borderId="44" xfId="0" applyFont="1" applyFill="1" applyBorder="1" applyAlignment="1">
      <alignment horizontal="center" vertical="center" wrapText="1"/>
    </xf>
    <xf numFmtId="0" fontId="16" fillId="7" borderId="93" xfId="0" applyFont="1" applyFill="1" applyBorder="1" applyAlignment="1">
      <alignment horizontal="center" vertical="center" wrapText="1"/>
    </xf>
    <xf numFmtId="0" fontId="16" fillId="7" borderId="51" xfId="0" applyFont="1" applyFill="1" applyBorder="1" applyAlignment="1">
      <alignment horizontal="center" vertical="center" wrapText="1"/>
    </xf>
    <xf numFmtId="0" fontId="17" fillId="0" borderId="53" xfId="0" applyFont="1" applyBorder="1" applyAlignment="1">
      <alignment vertical="center" wrapText="1"/>
    </xf>
    <xf numFmtId="165" fontId="17" fillId="0" borderId="53" xfId="0" applyNumberFormat="1" applyFont="1" applyBorder="1" applyAlignment="1">
      <alignment vertical="center" wrapText="1"/>
    </xf>
    <xf numFmtId="165" fontId="17" fillId="0" borderId="36" xfId="0" applyNumberFormat="1" applyFont="1" applyBorder="1" applyAlignment="1">
      <alignment vertical="center" wrapText="1"/>
    </xf>
    <xf numFmtId="165" fontId="17" fillId="0" borderId="34" xfId="0" applyNumberFormat="1" applyFont="1" applyBorder="1" applyAlignment="1">
      <alignment horizontal="right" vertical="center" wrapText="1"/>
    </xf>
    <xf numFmtId="165" fontId="17" fillId="0" borderId="36" xfId="0" applyNumberFormat="1" applyFont="1" applyBorder="1" applyAlignment="1">
      <alignment horizontal="right" vertical="center" wrapText="1"/>
    </xf>
    <xf numFmtId="165" fontId="17" fillId="0" borderId="53" xfId="0" applyNumberFormat="1" applyFont="1" applyBorder="1" applyAlignment="1">
      <alignment horizontal="right" vertical="center" wrapText="1"/>
    </xf>
    <xf numFmtId="0" fontId="17" fillId="0" borderId="95" xfId="0" applyFont="1" applyBorder="1" applyAlignment="1">
      <alignment vertical="center" wrapText="1"/>
    </xf>
    <xf numFmtId="165" fontId="17" fillId="0" borderId="96" xfId="0" applyNumberFormat="1" applyFont="1" applyBorder="1" applyAlignment="1">
      <alignment horizontal="right" vertical="center" wrapText="1"/>
    </xf>
    <xf numFmtId="165" fontId="17" fillId="0" borderId="97" xfId="0" applyNumberFormat="1" applyFont="1" applyBorder="1" applyAlignment="1">
      <alignment horizontal="right" vertical="center" wrapText="1"/>
    </xf>
    <xf numFmtId="0" fontId="17" fillId="0" borderId="98" xfId="0" applyFont="1" applyBorder="1" applyAlignment="1">
      <alignment vertical="center" wrapText="1"/>
    </xf>
    <xf numFmtId="165" fontId="17" fillId="0" borderId="98" xfId="0" applyNumberFormat="1" applyFont="1" applyBorder="1" applyAlignment="1">
      <alignment vertical="center" wrapText="1"/>
    </xf>
    <xf numFmtId="165" fontId="17" fillId="0" borderId="38" xfId="0" applyNumberFormat="1" applyFont="1" applyBorder="1" applyAlignment="1">
      <alignment vertical="center" wrapText="1"/>
    </xf>
    <xf numFmtId="165" fontId="17" fillId="0" borderId="37" xfId="0" applyNumberFormat="1" applyFont="1" applyBorder="1" applyAlignment="1">
      <alignment horizontal="right" vertical="center" wrapText="1"/>
    </xf>
    <xf numFmtId="165" fontId="17" fillId="0" borderId="38" xfId="0" applyNumberFormat="1" applyFont="1" applyBorder="1" applyAlignment="1">
      <alignment horizontal="right" vertical="center" wrapText="1"/>
    </xf>
    <xf numFmtId="165" fontId="17" fillId="0" borderId="98" xfId="0" applyNumberFormat="1" applyFont="1" applyBorder="1" applyAlignment="1">
      <alignment horizontal="right" vertical="center" wrapText="1"/>
    </xf>
    <xf numFmtId="0" fontId="16" fillId="7" borderId="98" xfId="0" applyFont="1" applyFill="1" applyBorder="1" applyAlignment="1">
      <alignment vertical="center" wrapText="1"/>
    </xf>
    <xf numFmtId="165" fontId="16" fillId="7" borderId="98" xfId="0" applyNumberFormat="1" applyFont="1" applyFill="1" applyBorder="1" applyAlignment="1">
      <alignment vertical="center" wrapText="1"/>
    </xf>
    <xf numFmtId="165" fontId="16" fillId="7" borderId="38" xfId="0" applyNumberFormat="1" applyFont="1" applyFill="1" applyBorder="1" applyAlignment="1">
      <alignment vertical="center" wrapText="1"/>
    </xf>
    <xf numFmtId="165" fontId="16" fillId="7" borderId="37" xfId="0" applyNumberFormat="1" applyFont="1" applyFill="1" applyBorder="1" applyAlignment="1">
      <alignment horizontal="right" vertical="center" wrapText="1"/>
    </xf>
    <xf numFmtId="165" fontId="16" fillId="7" borderId="38" xfId="0" applyNumberFormat="1" applyFont="1" applyFill="1" applyBorder="1" applyAlignment="1">
      <alignment horizontal="right" vertical="center" wrapText="1"/>
    </xf>
    <xf numFmtId="165" fontId="16" fillId="7" borderId="98" xfId="0" applyNumberFormat="1" applyFont="1" applyFill="1" applyBorder="1" applyAlignment="1">
      <alignment horizontal="right" vertical="center" wrapText="1"/>
    </xf>
    <xf numFmtId="0" fontId="17" fillId="0" borderId="99" xfId="0" applyFont="1" applyBorder="1" applyAlignment="1">
      <alignment vertical="center" wrapText="1"/>
    </xf>
    <xf numFmtId="165" fontId="17" fillId="0" borderId="99" xfId="0" applyNumberFormat="1" applyFont="1" applyBorder="1" applyAlignment="1">
      <alignment vertical="center" wrapText="1"/>
    </xf>
    <xf numFmtId="165" fontId="17" fillId="0" borderId="41" xfId="0" applyNumberFormat="1" applyFont="1" applyBorder="1" applyAlignment="1">
      <alignment vertical="center" wrapText="1"/>
    </xf>
    <xf numFmtId="165" fontId="17" fillId="0" borderId="39" xfId="0" applyNumberFormat="1" applyFont="1" applyBorder="1" applyAlignment="1">
      <alignment horizontal="right" vertical="center" wrapText="1"/>
    </xf>
    <xf numFmtId="165" fontId="17" fillId="0" borderId="41" xfId="0" applyNumberFormat="1" applyFont="1" applyBorder="1" applyAlignment="1">
      <alignment horizontal="right" vertical="center" wrapText="1"/>
    </xf>
    <xf numFmtId="165" fontId="17" fillId="0" borderId="99" xfId="0" applyNumberFormat="1" applyFont="1" applyBorder="1" applyAlignment="1">
      <alignment horizontal="right" vertical="center" wrapText="1"/>
    </xf>
    <xf numFmtId="0" fontId="16" fillId="7" borderId="58" xfId="0" applyFont="1" applyFill="1" applyBorder="1" applyAlignment="1">
      <alignment vertical="center" wrapText="1"/>
    </xf>
    <xf numFmtId="165" fontId="16" fillId="7" borderId="58" xfId="0" applyNumberFormat="1" applyFont="1" applyFill="1" applyBorder="1" applyAlignment="1">
      <alignment vertical="center" wrapText="1"/>
    </xf>
    <xf numFmtId="165" fontId="16" fillId="7" borderId="49" xfId="0" applyNumberFormat="1" applyFont="1" applyFill="1" applyBorder="1" applyAlignment="1">
      <alignment vertical="center" wrapText="1"/>
    </xf>
    <xf numFmtId="165" fontId="16" fillId="7" borderId="48" xfId="0" applyNumberFormat="1" applyFont="1" applyFill="1" applyBorder="1" applyAlignment="1">
      <alignment horizontal="right" vertical="center" wrapText="1"/>
    </xf>
    <xf numFmtId="165" fontId="16" fillId="7" borderId="49" xfId="0" applyNumberFormat="1" applyFont="1" applyFill="1" applyBorder="1" applyAlignment="1">
      <alignment horizontal="right" vertical="center" wrapText="1"/>
    </xf>
    <xf numFmtId="165" fontId="16" fillId="7" borderId="58" xfId="0" applyNumberFormat="1" applyFont="1" applyFill="1" applyBorder="1" applyAlignment="1">
      <alignment horizontal="right" vertical="center" wrapText="1"/>
    </xf>
    <xf numFmtId="165" fontId="16" fillId="7" borderId="44" xfId="0" applyNumberFormat="1" applyFont="1" applyFill="1" applyBorder="1" applyAlignment="1">
      <alignment horizontal="center" vertical="center" wrapText="1"/>
    </xf>
    <xf numFmtId="165" fontId="16" fillId="7" borderId="93" xfId="0" applyNumberFormat="1" applyFont="1" applyFill="1" applyBorder="1" applyAlignment="1">
      <alignment horizontal="center" vertical="center" wrapText="1"/>
    </xf>
    <xf numFmtId="165" fontId="16" fillId="7" borderId="51" xfId="0" applyNumberFormat="1" applyFont="1" applyFill="1" applyBorder="1" applyAlignment="1">
      <alignment horizontal="center" vertical="center" wrapText="1"/>
    </xf>
    <xf numFmtId="0" fontId="41" fillId="7" borderId="6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1" fillId="7" borderId="83" xfId="0" applyFont="1" applyFill="1" applyBorder="1" applyAlignment="1">
      <alignment horizontal="center" vertical="center" wrapText="1"/>
    </xf>
    <xf numFmtId="0" fontId="41" fillId="7" borderId="84" xfId="0" applyFont="1" applyFill="1" applyBorder="1" applyAlignment="1">
      <alignment horizontal="center" vertical="center" wrapText="1"/>
    </xf>
    <xf numFmtId="14" fontId="41" fillId="7" borderId="86" xfId="0" applyNumberFormat="1" applyFont="1" applyFill="1" applyBorder="1" applyAlignment="1">
      <alignment horizontal="center" vertical="center" wrapText="1"/>
    </xf>
    <xf numFmtId="14" fontId="41" fillId="7" borderId="87" xfId="0" applyNumberFormat="1" applyFont="1" applyFill="1" applyBorder="1" applyAlignment="1">
      <alignment horizontal="center" vertical="center" wrapText="1"/>
    </xf>
    <xf numFmtId="0" fontId="41" fillId="7" borderId="63" xfId="0" applyFont="1" applyFill="1" applyBorder="1" applyAlignment="1">
      <alignment horizontal="center" vertical="center" wrapText="1"/>
    </xf>
    <xf numFmtId="0" fontId="41" fillId="7" borderId="85" xfId="0" applyFont="1" applyFill="1" applyBorder="1" applyAlignment="1">
      <alignment horizontal="center" vertical="center" wrapText="1"/>
    </xf>
    <xf numFmtId="165" fontId="16" fillId="7" borderId="44" xfId="0" applyNumberFormat="1" applyFont="1" applyFill="1" applyBorder="1" applyAlignment="1">
      <alignment horizontal="center" vertical="center" wrapText="1"/>
    </xf>
    <xf numFmtId="165" fontId="16" fillId="7" borderId="92" xfId="0" applyNumberFormat="1" applyFont="1" applyFill="1" applyBorder="1" applyAlignment="1">
      <alignment horizontal="center" vertical="center" wrapText="1"/>
    </xf>
    <xf numFmtId="165" fontId="16" fillId="7" borderId="45" xfId="0" applyNumberFormat="1" applyFont="1" applyFill="1" applyBorder="1" applyAlignment="1">
      <alignment horizontal="center" vertical="center" wrapText="1"/>
    </xf>
    <xf numFmtId="165" fontId="16" fillId="7" borderId="71" xfId="0" applyNumberFormat="1" applyFont="1" applyFill="1" applyBorder="1" applyAlignment="1">
      <alignment horizontal="center" vertical="center" wrapText="1"/>
    </xf>
    <xf numFmtId="0" fontId="16" fillId="7" borderId="44" xfId="0" applyFont="1" applyFill="1" applyBorder="1" applyAlignment="1">
      <alignment horizontal="center" vertical="center" wrapText="1"/>
    </xf>
    <xf numFmtId="0" fontId="16" fillId="7" borderId="92" xfId="0" applyFont="1" applyFill="1" applyBorder="1" applyAlignment="1">
      <alignment horizontal="center" vertical="center" wrapText="1"/>
    </xf>
    <xf numFmtId="0" fontId="16" fillId="7" borderId="45" xfId="0" applyFont="1" applyFill="1" applyBorder="1" applyAlignment="1">
      <alignment horizontal="center" vertical="center" wrapText="1"/>
    </xf>
    <xf numFmtId="0" fontId="16" fillId="7" borderId="71" xfId="0" applyFont="1" applyFill="1" applyBorder="1" applyAlignment="1">
      <alignment horizontal="center" vertical="center" wrapText="1"/>
    </xf>
    <xf numFmtId="14" fontId="7" fillId="4" borderId="0" xfId="0" applyNumberFormat="1" applyFont="1" applyFill="1" applyBorder="1" applyAlignment="1">
      <alignment horizontal="center" vertical="center"/>
    </xf>
    <xf numFmtId="14" fontId="7" fillId="4" borderId="91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91" xfId="0" applyFont="1" applyFill="1" applyBorder="1" applyAlignment="1">
      <alignment horizontal="center" vertical="center"/>
    </xf>
    <xf numFmtId="0" fontId="16" fillId="7" borderId="51" xfId="0" applyFont="1" applyFill="1" applyBorder="1" applyAlignment="1">
      <alignment horizontal="center" vertical="center" wrapText="1"/>
    </xf>
    <xf numFmtId="0" fontId="16" fillId="7" borderId="9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6" fillId="7" borderId="63" xfId="0" applyFont="1" applyFill="1" applyBorder="1" applyAlignment="1">
      <alignment horizontal="center" vertical="center" wrapText="1"/>
    </xf>
    <xf numFmtId="0" fontId="16" fillId="7" borderId="82" xfId="0" applyFont="1" applyFill="1" applyBorder="1" applyAlignment="1">
      <alignment horizontal="center" vertical="center" wrapText="1"/>
    </xf>
    <xf numFmtId="0" fontId="16" fillId="7" borderId="83" xfId="0" applyFont="1" applyFill="1" applyBorder="1" applyAlignment="1">
      <alignment horizontal="center" vertical="center" wrapText="1"/>
    </xf>
    <xf numFmtId="0" fontId="16" fillId="7" borderId="84" xfId="0" applyFont="1" applyFill="1" applyBorder="1" applyAlignment="1">
      <alignment horizontal="center" vertical="center" wrapText="1"/>
    </xf>
    <xf numFmtId="165" fontId="7" fillId="4" borderId="0" xfId="0" applyNumberFormat="1" applyFont="1" applyFill="1" applyBorder="1" applyAlignment="1">
      <alignment horizontal="center" vertical="center"/>
    </xf>
    <xf numFmtId="165" fontId="7" fillId="4" borderId="91" xfId="0" applyNumberFormat="1" applyFont="1" applyFill="1" applyBorder="1" applyAlignment="1">
      <alignment horizontal="center" vertical="center"/>
    </xf>
    <xf numFmtId="165" fontId="7" fillId="4" borderId="57" xfId="0" applyNumberFormat="1" applyFont="1" applyFill="1" applyBorder="1" applyAlignment="1">
      <alignment horizontal="center" vertical="center"/>
    </xf>
    <xf numFmtId="165" fontId="16" fillId="7" borderId="51" xfId="0" applyNumberFormat="1" applyFont="1" applyFill="1" applyBorder="1" applyAlignment="1">
      <alignment horizontal="center" vertical="center" wrapText="1"/>
    </xf>
    <xf numFmtId="165" fontId="16" fillId="7" borderId="93" xfId="0" applyNumberFormat="1" applyFont="1" applyFill="1" applyBorder="1" applyAlignment="1">
      <alignment horizontal="center" vertical="center" wrapText="1"/>
    </xf>
    <xf numFmtId="165" fontId="16" fillId="7" borderId="83" xfId="0" applyNumberFormat="1" applyFont="1" applyFill="1" applyBorder="1" applyAlignment="1">
      <alignment horizontal="center" vertical="center" wrapText="1"/>
    </xf>
    <xf numFmtId="165" fontId="16" fillId="7" borderId="84" xfId="0" applyNumberFormat="1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17" fillId="0" borderId="77" xfId="0" applyFont="1" applyBorder="1" applyAlignment="1">
      <alignment vertical="center" wrapText="1"/>
    </xf>
    <xf numFmtId="0" fontId="17" fillId="0" borderId="79" xfId="0" applyFont="1" applyBorder="1" applyAlignment="1">
      <alignment vertical="center" wrapText="1"/>
    </xf>
    <xf numFmtId="165" fontId="17" fillId="0" borderId="75" xfId="0" applyNumberFormat="1" applyFont="1" applyBorder="1" applyAlignment="1">
      <alignment horizontal="center" vertical="center" wrapText="1"/>
    </xf>
    <xf numFmtId="165" fontId="17" fillId="0" borderId="76" xfId="0" applyNumberFormat="1" applyFont="1" applyBorder="1" applyAlignment="1">
      <alignment horizontal="center" vertical="center" wrapText="1"/>
    </xf>
    <xf numFmtId="165" fontId="17" fillId="0" borderId="78" xfId="0" applyNumberFormat="1" applyFont="1" applyBorder="1" applyAlignment="1">
      <alignment horizontal="right" vertical="center" wrapText="1"/>
    </xf>
    <xf numFmtId="165" fontId="17" fillId="0" borderId="80" xfId="0" applyNumberFormat="1" applyFont="1" applyBorder="1" applyAlignment="1">
      <alignment horizontal="right" vertical="center" wrapText="1"/>
    </xf>
    <xf numFmtId="14" fontId="41" fillId="7" borderId="83" xfId="0" applyNumberFormat="1" applyFont="1" applyFill="1" applyBorder="1" applyAlignment="1">
      <alignment horizontal="center" vertical="center" wrapText="1"/>
    </xf>
    <xf numFmtId="166" fontId="44" fillId="9" borderId="25" xfId="0" applyNumberFormat="1" applyFont="1" applyFill="1" applyBorder="1" applyAlignment="1">
      <alignment horizontal="right" vertical="top" wrapText="1"/>
    </xf>
  </cellXfs>
  <cellStyles count="4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414337</xdr:colOff>
          <xdr:row>0</xdr:row>
          <xdr:rowOff>0</xdr:rowOff>
        </xdr:from>
        <xdr:to>
          <xdr:col>24</xdr:col>
          <xdr:colOff>1147762</xdr:colOff>
          <xdr:row>0</xdr:row>
          <xdr:rowOff>180975</xdr:rowOff>
        </xdr:to>
        <xdr:sp macro="" textlink="">
          <xdr:nvSpPr>
            <xdr:cNvPr id="8198" name="Control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414337</xdr:colOff>
          <xdr:row>0</xdr:row>
          <xdr:rowOff>0</xdr:rowOff>
        </xdr:from>
        <xdr:to>
          <xdr:col>24</xdr:col>
          <xdr:colOff>1147762</xdr:colOff>
          <xdr:row>0</xdr:row>
          <xdr:rowOff>180975</xdr:rowOff>
        </xdr:to>
        <xdr:sp macro="" textlink="">
          <xdr:nvSpPr>
            <xdr:cNvPr id="8199" name="Control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138</xdr:row>
      <xdr:rowOff>0</xdr:rowOff>
    </xdr:from>
    <xdr:to>
      <xdr:col>26</xdr:col>
      <xdr:colOff>181568</xdr:colOff>
      <xdr:row>182</xdr:row>
      <xdr:rowOff>27590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531" y="26634281"/>
          <a:ext cx="14314287" cy="788571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81</xdr:row>
      <xdr:rowOff>0</xdr:rowOff>
    </xdr:from>
    <xdr:to>
      <xdr:col>16</xdr:col>
      <xdr:colOff>2329214</xdr:colOff>
      <xdr:row>98</xdr:row>
      <xdr:rowOff>151976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16013906"/>
          <a:ext cx="16247620" cy="33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95</xdr:row>
      <xdr:rowOff>0</xdr:rowOff>
    </xdr:from>
    <xdr:to>
      <xdr:col>11</xdr:col>
      <xdr:colOff>3336718</xdr:colOff>
      <xdr:row>108</xdr:row>
      <xdr:rowOff>18738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6906" y="18621375"/>
          <a:ext cx="14361906" cy="249523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javascript:verDetalle()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showGridLines="0" topLeftCell="D1" workbookViewId="0">
      <selection activeCell="I3" sqref="I3"/>
    </sheetView>
  </sheetViews>
  <sheetFormatPr baseColWidth="10" defaultRowHeight="14.25"/>
  <cols>
    <col min="1" max="1" width="2" style="192" hidden="1" customWidth="1"/>
    <col min="2" max="3" width="5.5703125" style="192" hidden="1" customWidth="1"/>
    <col min="4" max="4" width="12.7109375" style="193" bestFit="1" customWidth="1"/>
    <col min="5" max="5" width="2.140625" style="193" bestFit="1" customWidth="1"/>
    <col min="6" max="6" width="21.5703125" style="193" customWidth="1"/>
    <col min="7" max="7" width="6.28515625" style="193" bestFit="1" customWidth="1"/>
    <col min="8" max="9" width="17.5703125" style="193" bestFit="1" customWidth="1"/>
    <col min="10" max="10" width="18.140625" style="193" bestFit="1" customWidth="1"/>
    <col min="11" max="11" width="33.42578125" style="193" bestFit="1" customWidth="1"/>
    <col min="12" max="12" width="12.5703125" style="193" bestFit="1" customWidth="1"/>
    <col min="13" max="13" width="13.85546875" style="193" bestFit="1" customWidth="1"/>
    <col min="14" max="16384" width="11.42578125" style="193"/>
  </cols>
  <sheetData>
    <row r="1" spans="1:11" ht="15" thickBot="1"/>
    <row r="2" spans="1:11" ht="45.75" customHeight="1" thickBot="1">
      <c r="A2" s="197"/>
      <c r="B2" s="197"/>
      <c r="C2" s="197"/>
      <c r="D2" s="347" t="s">
        <v>471</v>
      </c>
      <c r="E2" s="347"/>
      <c r="F2" s="347"/>
      <c r="G2" s="348"/>
      <c r="H2" s="10" t="s">
        <v>116</v>
      </c>
      <c r="I2" s="10" t="s">
        <v>115</v>
      </c>
      <c r="J2" s="10" t="s">
        <v>190</v>
      </c>
      <c r="K2" s="10" t="s">
        <v>192</v>
      </c>
    </row>
    <row r="3" spans="1:11" ht="27" customHeight="1" thickBot="1">
      <c r="A3" s="197"/>
      <c r="B3" s="197"/>
      <c r="C3" s="197"/>
      <c r="D3" s="196" t="s">
        <v>112</v>
      </c>
      <c r="E3" s="11">
        <v>1</v>
      </c>
      <c r="F3" s="8" t="s">
        <v>45</v>
      </c>
      <c r="G3" s="7" t="s">
        <v>189</v>
      </c>
      <c r="H3" s="5">
        <f>Balance!U92</f>
        <v>0</v>
      </c>
      <c r="I3" s="5">
        <f>'EE RR'!W71</f>
        <v>0</v>
      </c>
      <c r="J3" s="5">
        <f>H3-I3</f>
        <v>0</v>
      </c>
      <c r="K3" s="194"/>
    </row>
    <row r="4" spans="1:11" ht="29.25" thickBot="1">
      <c r="A4" s="198" t="s">
        <v>185</v>
      </c>
      <c r="B4" s="198"/>
      <c r="C4" s="198"/>
      <c r="D4" s="349" t="s">
        <v>113</v>
      </c>
      <c r="E4" s="12">
        <v>2</v>
      </c>
      <c r="F4" s="8" t="s">
        <v>245</v>
      </c>
      <c r="G4" s="7" t="s">
        <v>189</v>
      </c>
      <c r="H4" s="5">
        <f>IFERROR(VLOOKUP(A4,'Balance Ag'!$B$5:$G$1000,6,0),0)</f>
        <v>0</v>
      </c>
      <c r="I4" s="5">
        <v>0</v>
      </c>
      <c r="J4" s="5">
        <f>H4</f>
        <v>0</v>
      </c>
      <c r="K4" s="294"/>
    </row>
    <row r="5" spans="1:11" ht="29.25" customHeight="1" thickBot="1">
      <c r="A5" s="198" t="s">
        <v>145</v>
      </c>
      <c r="B5" s="198"/>
      <c r="C5" s="198"/>
      <c r="D5" s="349"/>
      <c r="E5" s="12">
        <v>3</v>
      </c>
      <c r="F5" s="8" t="s">
        <v>350</v>
      </c>
      <c r="G5" s="7" t="s">
        <v>188</v>
      </c>
      <c r="H5" s="5">
        <f>(IFERROR(VLOOKUP(A5,'Balance Ag'!$B$5:$G$1000,6,0),0))</f>
        <v>0</v>
      </c>
      <c r="I5" s="5">
        <f>'EE RR'!X12</f>
        <v>0</v>
      </c>
      <c r="J5" s="5">
        <f>H5+I5</f>
        <v>0</v>
      </c>
      <c r="K5" s="21"/>
    </row>
    <row r="6" spans="1:11" ht="29.25" thickBot="1">
      <c r="A6" s="198" t="s">
        <v>146</v>
      </c>
      <c r="B6" s="198"/>
      <c r="C6" s="198"/>
      <c r="D6" s="349"/>
      <c r="E6" s="12">
        <v>4</v>
      </c>
      <c r="F6" s="8" t="s">
        <v>351</v>
      </c>
      <c r="G6" s="7" t="s">
        <v>188</v>
      </c>
      <c r="H6" s="5">
        <f>IFERROR(VLOOKUP(A6,'Balance Ag'!$B$5:$G$1000,6,0),0)</f>
        <v>0</v>
      </c>
      <c r="I6" s="5">
        <f>'EE RR'!X45-'EE RR'!X68+'EE RR'!X69</f>
        <v>0</v>
      </c>
      <c r="J6" s="5">
        <f>H6-I6</f>
        <v>0</v>
      </c>
      <c r="K6" s="21"/>
    </row>
    <row r="7" spans="1:11" ht="28.5" customHeight="1" thickBot="1">
      <c r="A7" s="197"/>
      <c r="B7" s="197"/>
      <c r="C7" s="197"/>
      <c r="D7" s="349"/>
      <c r="E7" s="12">
        <v>5</v>
      </c>
      <c r="F7" s="8" t="s">
        <v>187</v>
      </c>
      <c r="G7" s="7" t="s">
        <v>194</v>
      </c>
      <c r="H7" s="5">
        <f>H5+H6</f>
        <v>0</v>
      </c>
      <c r="I7" s="5">
        <f>I5-I6</f>
        <v>0</v>
      </c>
      <c r="J7" s="5">
        <f>J5+J6</f>
        <v>0</v>
      </c>
      <c r="K7" s="21"/>
    </row>
    <row r="8" spans="1:11" ht="29.25" thickBot="1">
      <c r="A8" s="197"/>
      <c r="B8" s="197"/>
      <c r="C8" s="197"/>
      <c r="D8" s="350"/>
      <c r="E8" s="13">
        <v>6</v>
      </c>
      <c r="F8" s="8" t="s">
        <v>193</v>
      </c>
      <c r="G8" s="7" t="s">
        <v>349</v>
      </c>
      <c r="H8" s="5">
        <f>H4+H7</f>
        <v>0</v>
      </c>
      <c r="I8" s="5">
        <f>I4+I7</f>
        <v>0</v>
      </c>
      <c r="J8" s="5">
        <f>J4+J7</f>
        <v>0</v>
      </c>
      <c r="K8" s="195"/>
    </row>
    <row r="9" spans="1:11" ht="29.25" thickBot="1">
      <c r="A9" s="197"/>
      <c r="B9" s="197"/>
      <c r="C9" s="197"/>
      <c r="D9" s="351" t="s">
        <v>186</v>
      </c>
      <c r="E9" s="352"/>
      <c r="F9" s="4" t="s">
        <v>191</v>
      </c>
      <c r="G9" s="6" t="s">
        <v>195</v>
      </c>
      <c r="H9" s="5">
        <f>H3+H8</f>
        <v>0</v>
      </c>
      <c r="I9" s="5">
        <f>I3-I8</f>
        <v>0</v>
      </c>
      <c r="J9" s="5">
        <f>J3+J8</f>
        <v>0</v>
      </c>
      <c r="K9" s="195"/>
    </row>
    <row r="10" spans="1:11">
      <c r="A10" s="197"/>
      <c r="B10" s="197"/>
      <c r="C10" s="197"/>
    </row>
    <row r="11" spans="1:11">
      <c r="A11" s="197"/>
      <c r="B11" s="197"/>
      <c r="C11" s="197"/>
    </row>
    <row r="12" spans="1:11" ht="15" thickBot="1">
      <c r="A12" s="197"/>
      <c r="B12" s="197"/>
      <c r="C12" s="197"/>
    </row>
    <row r="13" spans="1:11" ht="44.25" customHeight="1" thickBot="1">
      <c r="A13" s="197"/>
      <c r="B13" s="197"/>
      <c r="C13" s="197"/>
      <c r="E13" s="346" t="s">
        <v>472</v>
      </c>
      <c r="F13" s="347"/>
      <c r="G13" s="348"/>
      <c r="H13" s="10" t="s">
        <v>238</v>
      </c>
      <c r="I13" s="10" t="s">
        <v>239</v>
      </c>
      <c r="J13" s="10" t="s">
        <v>236</v>
      </c>
      <c r="K13" s="10" t="s">
        <v>252</v>
      </c>
    </row>
    <row r="14" spans="1:11" ht="15" thickBot="1">
      <c r="A14" s="197"/>
      <c r="B14" s="198" t="s">
        <v>144</v>
      </c>
      <c r="C14" s="198" t="s">
        <v>167</v>
      </c>
      <c r="E14" s="18" t="s">
        <v>143</v>
      </c>
      <c r="F14" s="15" t="s">
        <v>113</v>
      </c>
      <c r="G14" s="16" t="s">
        <v>189</v>
      </c>
      <c r="H14" s="17" t="e">
        <f>VLOOKUP(E14,'Balance Ag'!$B$5:$G$1000,6,0)</f>
        <v>#N/A</v>
      </c>
      <c r="I14" s="17" t="e">
        <f>VLOOKUP(B14,'Balance Ag'!$B$5:$G$1000,6,0)</f>
        <v>#N/A</v>
      </c>
      <c r="J14" s="17">
        <f>IFERROR(VLOOKUP(C14,'Balance Ag'!$B$5:$G$1000,6,0),0)</f>
        <v>0</v>
      </c>
      <c r="K14" s="17" t="e">
        <f>H14+I14+J14+J17</f>
        <v>#N/A</v>
      </c>
    </row>
    <row r="15" spans="1:11" ht="29.25" thickBot="1">
      <c r="A15" s="197"/>
      <c r="B15" s="198" t="s">
        <v>170</v>
      </c>
      <c r="C15" s="198" t="s">
        <v>170</v>
      </c>
      <c r="E15" s="19" t="s">
        <v>144</v>
      </c>
      <c r="F15" s="14" t="s">
        <v>234</v>
      </c>
      <c r="G15" s="7" t="s">
        <v>241</v>
      </c>
      <c r="H15" s="5">
        <f>IFERROR(VLOOKUP(B15,'Balance Ag'!$B$5:$G$1000,6,0),0)</f>
        <v>0</v>
      </c>
      <c r="I15" s="5">
        <f>IFERROR(VLOOKUP(C15,'Balance Ag'!$B$5:$G$1000,6,0),0)</f>
        <v>0</v>
      </c>
      <c r="J15" s="5">
        <v>0</v>
      </c>
      <c r="K15" s="17"/>
    </row>
    <row r="16" spans="1:11" ht="43.5" thickBot="1">
      <c r="A16" s="197"/>
      <c r="B16" s="198" t="s">
        <v>229</v>
      </c>
      <c r="C16" s="198" t="s">
        <v>230</v>
      </c>
      <c r="E16" s="19" t="s">
        <v>167</v>
      </c>
      <c r="F16" s="14" t="s">
        <v>242</v>
      </c>
      <c r="G16" s="7" t="s">
        <v>240</v>
      </c>
      <c r="H16" s="5">
        <f>IFERROR(VLOOKUP(B16,'Balance Ag'!$B$5:$G$1000,6,0),0)</f>
        <v>0</v>
      </c>
      <c r="I16" s="5">
        <f>IFERROR(VLOOKUP(C16,'Balance Ag'!$B$5:$G$1000,6,0),0)</f>
        <v>0</v>
      </c>
      <c r="J16" s="5">
        <f>Balance!W90</f>
        <v>0</v>
      </c>
      <c r="K16" s="17"/>
    </row>
    <row r="17" spans="1:11" ht="15" thickBot="1">
      <c r="A17" s="197"/>
      <c r="B17" s="197"/>
      <c r="C17" s="197"/>
      <c r="E17" s="19" t="s">
        <v>145</v>
      </c>
      <c r="F17" s="14" t="s">
        <v>237</v>
      </c>
      <c r="G17" s="7" t="s">
        <v>188</v>
      </c>
      <c r="H17" s="5">
        <v>0</v>
      </c>
      <c r="I17" s="5">
        <v>0</v>
      </c>
      <c r="J17" s="5">
        <f>(Balance!W92)*-1</f>
        <v>0</v>
      </c>
      <c r="K17" s="17"/>
    </row>
    <row r="18" spans="1:11" ht="15" thickBot="1">
      <c r="A18" s="197"/>
      <c r="B18" s="197"/>
      <c r="C18" s="197"/>
      <c r="E18" s="19" t="s">
        <v>146</v>
      </c>
      <c r="F18" s="15" t="s">
        <v>119</v>
      </c>
      <c r="G18" s="16" t="s">
        <v>189</v>
      </c>
      <c r="H18" s="17" t="e">
        <f>H14-H15-H16</f>
        <v>#N/A</v>
      </c>
      <c r="I18" s="17" t="e">
        <f>I14+I15-I16</f>
        <v>#N/A</v>
      </c>
      <c r="J18" s="17">
        <f>J14+J15+J16+J17</f>
        <v>0</v>
      </c>
      <c r="K18" s="17" t="e">
        <f>H18+I18+J18</f>
        <v>#N/A</v>
      </c>
    </row>
    <row r="19" spans="1:11" ht="15" thickBot="1">
      <c r="A19" s="197"/>
      <c r="B19" s="197"/>
      <c r="C19" s="197"/>
      <c r="E19" s="19" t="s">
        <v>243</v>
      </c>
      <c r="F19" s="15" t="s">
        <v>235</v>
      </c>
      <c r="G19" s="16" t="s">
        <v>189</v>
      </c>
      <c r="H19" s="17">
        <f>Balance!U58</f>
        <v>0</v>
      </c>
      <c r="I19" s="17">
        <f>Balance!U86</f>
        <v>0</v>
      </c>
      <c r="J19" s="17">
        <f>Balance!U88</f>
        <v>0</v>
      </c>
      <c r="K19" s="17">
        <f>H19-I19-J19</f>
        <v>0</v>
      </c>
    </row>
    <row r="20" spans="1:11" ht="15" thickBot="1">
      <c r="A20" s="197"/>
      <c r="B20" s="197"/>
      <c r="C20" s="199"/>
      <c r="E20" s="20" t="s">
        <v>244</v>
      </c>
      <c r="F20" s="15" t="s">
        <v>114</v>
      </c>
      <c r="G20" s="16" t="s">
        <v>253</v>
      </c>
      <c r="H20" s="17" t="e">
        <f>H19-H18</f>
        <v>#N/A</v>
      </c>
      <c r="I20" s="17" t="e">
        <f>I19+I18</f>
        <v>#N/A</v>
      </c>
      <c r="J20" s="17">
        <f>J19+J18</f>
        <v>0</v>
      </c>
      <c r="K20" s="17" t="e">
        <f>H20-I20-J20</f>
        <v>#N/A</v>
      </c>
    </row>
    <row r="21" spans="1:11">
      <c r="C21" s="193"/>
    </row>
  </sheetData>
  <mergeCells count="4">
    <mergeCell ref="E13:G13"/>
    <mergeCell ref="D4:D8"/>
    <mergeCell ref="D9:E9"/>
    <mergeCell ref="D2:G2"/>
  </mergeCells>
  <printOptions horizontalCentered="1"/>
  <pageMargins left="0.51181102362204722" right="0.51181102362204722" top="0.74803149606299213" bottom="0.74803149606299213" header="0.31496062992125984" footer="0.31496062992125984"/>
  <pageSetup scale="9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90"/>
  <sheetViews>
    <sheetView topLeftCell="A61" workbookViewId="0">
      <selection activeCell="G66" sqref="B66:G70"/>
    </sheetView>
  </sheetViews>
  <sheetFormatPr baseColWidth="10" defaultColWidth="9.140625" defaultRowHeight="15"/>
  <cols>
    <col min="1" max="1" width="3.28515625" customWidth="1"/>
    <col min="2" max="2" width="8.7109375" bestFit="1" customWidth="1"/>
    <col min="3" max="3" width="30" customWidth="1"/>
    <col min="4" max="7" width="13.28515625" customWidth="1"/>
    <col min="8" max="8" width="18.5703125" customWidth="1"/>
    <col min="9" max="9" width="40.85546875" bestFit="1" customWidth="1"/>
  </cols>
  <sheetData>
    <row r="1" spans="1:8" ht="20.100000000000001" customHeight="1">
      <c r="B1" s="49"/>
      <c r="D1" s="50" t="s">
        <v>546</v>
      </c>
    </row>
    <row r="2" spans="1:8" ht="17.100000000000001" customHeight="1">
      <c r="A2" s="49"/>
      <c r="B2" s="49"/>
      <c r="D2" s="51" t="s">
        <v>668</v>
      </c>
    </row>
    <row r="3" spans="1:8" ht="15" customHeight="1">
      <c r="A3" s="49"/>
      <c r="B3" s="49"/>
      <c r="D3" s="51" t="s">
        <v>669</v>
      </c>
    </row>
    <row r="4" spans="1:8" ht="15" customHeight="1">
      <c r="A4" s="49"/>
      <c r="B4" s="49"/>
      <c r="D4" s="51" t="s">
        <v>670</v>
      </c>
    </row>
    <row r="5" spans="1:8" ht="15.95" customHeight="1">
      <c r="A5" s="49"/>
      <c r="H5" s="49"/>
    </row>
    <row r="6" spans="1:8" ht="30">
      <c r="A6" s="49"/>
      <c r="B6" s="41" t="s">
        <v>547</v>
      </c>
      <c r="C6" s="40" t="s">
        <v>408</v>
      </c>
      <c r="D6" s="40" t="s">
        <v>409</v>
      </c>
      <c r="E6" s="40" t="s">
        <v>410</v>
      </c>
      <c r="F6" s="40" t="s">
        <v>411</v>
      </c>
      <c r="G6" s="41" t="s">
        <v>412</v>
      </c>
      <c r="H6" s="75" t="s">
        <v>782</v>
      </c>
    </row>
    <row r="7" spans="1:8" ht="15" customHeight="1">
      <c r="A7" s="49"/>
      <c r="B7" s="42" t="s">
        <v>143</v>
      </c>
      <c r="C7" s="42" t="s">
        <v>7</v>
      </c>
      <c r="D7" s="43">
        <v>10199953</v>
      </c>
      <c r="E7" s="43">
        <v>38801632</v>
      </c>
      <c r="F7" s="43">
        <v>29892232</v>
      </c>
      <c r="G7" s="43">
        <v>19109352</v>
      </c>
      <c r="H7" s="43">
        <f>IFERROR(VLOOKUP(B7,'Ene - May'!$B$13:$G$256,6,0),0)-D7</f>
        <v>-340</v>
      </c>
    </row>
    <row r="8" spans="1:8" ht="15" customHeight="1">
      <c r="A8" s="49"/>
      <c r="B8" s="42" t="s">
        <v>275</v>
      </c>
      <c r="C8" s="42" t="s">
        <v>10</v>
      </c>
      <c r="D8" s="43">
        <v>3419938</v>
      </c>
      <c r="E8" s="43">
        <v>32265131</v>
      </c>
      <c r="F8" s="43">
        <v>27607898</v>
      </c>
      <c r="G8" s="43">
        <v>8077171</v>
      </c>
      <c r="H8" s="43">
        <f>IFERROR(VLOOKUP(B8,'Ene - May'!$B$13:$G$256,6,0),0)-D8</f>
        <v>-340</v>
      </c>
    </row>
    <row r="9" spans="1:8" ht="15" customHeight="1">
      <c r="A9" s="49"/>
      <c r="B9" s="42" t="s">
        <v>147</v>
      </c>
      <c r="C9" s="42" t="s">
        <v>11</v>
      </c>
      <c r="D9" s="43">
        <v>3297480</v>
      </c>
      <c r="E9" s="43">
        <v>14629835</v>
      </c>
      <c r="F9" s="43">
        <v>13159035</v>
      </c>
      <c r="G9" s="43">
        <v>4768281</v>
      </c>
      <c r="H9" s="43">
        <f>IFERROR(VLOOKUP(B9,'Ene - May'!$B$13:$G$256,6,0),0)-D9</f>
        <v>-340</v>
      </c>
    </row>
    <row r="10" spans="1:8" ht="15" customHeight="1">
      <c r="A10" s="49"/>
      <c r="B10" s="42" t="s">
        <v>276</v>
      </c>
      <c r="C10" s="42" t="s">
        <v>12</v>
      </c>
      <c r="D10" s="43">
        <v>3297480</v>
      </c>
      <c r="E10" s="43">
        <v>14629835</v>
      </c>
      <c r="F10" s="43">
        <v>13159035</v>
      </c>
      <c r="G10" s="43">
        <v>4768281</v>
      </c>
      <c r="H10" s="43">
        <f>IFERROR(VLOOKUP(B10,'Ene - May'!$B$13:$G$256,6,0),0)-D10</f>
        <v>-340</v>
      </c>
    </row>
    <row r="11" spans="1:8" ht="15" customHeight="1">
      <c r="A11" s="49"/>
      <c r="B11" s="42" t="s">
        <v>277</v>
      </c>
      <c r="C11" s="42" t="s">
        <v>13</v>
      </c>
      <c r="D11" s="43">
        <v>78912</v>
      </c>
      <c r="E11" s="43">
        <v>658898</v>
      </c>
      <c r="F11" s="43">
        <v>703783</v>
      </c>
      <c r="G11" s="43">
        <v>34027</v>
      </c>
      <c r="H11" s="43">
        <f>IFERROR(VLOOKUP(B11,'Ene - May'!$B$13:$G$256,6,0),0)-D11</f>
        <v>0</v>
      </c>
    </row>
    <row r="12" spans="1:8" ht="15" customHeight="1">
      <c r="A12" s="49"/>
      <c r="B12" s="42" t="s">
        <v>278</v>
      </c>
      <c r="C12" s="42" t="s">
        <v>14</v>
      </c>
      <c r="D12" s="43">
        <v>72362</v>
      </c>
      <c r="E12" s="43">
        <v>278649</v>
      </c>
      <c r="F12" s="43">
        <v>320399</v>
      </c>
      <c r="G12" s="43">
        <v>30612</v>
      </c>
      <c r="H12" s="43">
        <f>IFERROR(VLOOKUP(B12,'Ene - May'!$B$13:$G$256,6,0),0)-D12</f>
        <v>0</v>
      </c>
    </row>
    <row r="13" spans="1:8" ht="15" customHeight="1">
      <c r="A13" s="49"/>
      <c r="B13" s="42" t="s">
        <v>678</v>
      </c>
      <c r="C13" s="42" t="s">
        <v>754</v>
      </c>
      <c r="D13" s="43">
        <v>5202</v>
      </c>
      <c r="E13" s="43">
        <v>45007</v>
      </c>
      <c r="F13" s="43">
        <v>49922</v>
      </c>
      <c r="G13" s="43" t="s">
        <v>667</v>
      </c>
      <c r="H13" s="43">
        <f>IFERROR(VLOOKUP(B13,'Ene - May'!$B$13:$G$256,6,0),0)-D13</f>
        <v>0</v>
      </c>
    </row>
    <row r="14" spans="1:8" ht="15" customHeight="1">
      <c r="A14" s="49"/>
      <c r="B14" s="42" t="s">
        <v>549</v>
      </c>
      <c r="C14" s="42" t="s">
        <v>477</v>
      </c>
      <c r="D14" s="43" t="s">
        <v>413</v>
      </c>
      <c r="E14" s="43" t="s">
        <v>666</v>
      </c>
      <c r="F14" s="43" t="s">
        <v>666</v>
      </c>
      <c r="G14" s="43" t="s">
        <v>413</v>
      </c>
      <c r="H14" s="43">
        <f>IFERROR(VLOOKUP(B14,'Ene - May'!$B$13:$G$256,6,0),0)-D14</f>
        <v>0</v>
      </c>
    </row>
    <row r="15" spans="1:8" ht="15" customHeight="1">
      <c r="A15" s="49"/>
      <c r="B15" s="42" t="s">
        <v>550</v>
      </c>
      <c r="C15" s="42" t="s">
        <v>478</v>
      </c>
      <c r="D15" s="43">
        <v>35802</v>
      </c>
      <c r="E15" s="43">
        <v>121771</v>
      </c>
      <c r="F15" s="43">
        <v>139259</v>
      </c>
      <c r="G15" s="43">
        <v>18314</v>
      </c>
      <c r="H15" s="43">
        <f>IFERROR(VLOOKUP(B15,'Ene - May'!$B$13:$G$256,6,0),0)-D15</f>
        <v>0</v>
      </c>
    </row>
    <row r="16" spans="1:8" ht="15" customHeight="1">
      <c r="A16" s="49"/>
      <c r="B16" s="42" t="s">
        <v>679</v>
      </c>
      <c r="C16" s="42" t="s">
        <v>479</v>
      </c>
      <c r="D16" s="43">
        <v>10263</v>
      </c>
      <c r="E16" s="43">
        <v>27532</v>
      </c>
      <c r="F16" s="43">
        <v>32848</v>
      </c>
      <c r="G16" s="43">
        <v>4946</v>
      </c>
      <c r="H16" s="43">
        <f>IFERROR(VLOOKUP(B16,'Ene - May'!$B$13:$G$256,6,0),0)-D16</f>
        <v>0</v>
      </c>
    </row>
    <row r="17" spans="1:8" ht="15.95" customHeight="1">
      <c r="A17" s="49"/>
      <c r="B17" s="42" t="s">
        <v>680</v>
      </c>
      <c r="C17" s="42" t="s">
        <v>480</v>
      </c>
      <c r="D17" s="43">
        <v>1760</v>
      </c>
      <c r="E17" s="43">
        <v>7482</v>
      </c>
      <c r="F17" s="43">
        <v>8848</v>
      </c>
      <c r="G17" s="43" t="s">
        <v>665</v>
      </c>
      <c r="H17" s="43">
        <f>IFERROR(VLOOKUP(B17,'Ene - May'!$B$13:$G$256,6,0),0)-D17</f>
        <v>0</v>
      </c>
    </row>
    <row r="18" spans="1:8" ht="15.95" customHeight="1">
      <c r="A18" s="49"/>
      <c r="B18" s="42" t="s">
        <v>682</v>
      </c>
      <c r="C18" s="42" t="s">
        <v>755</v>
      </c>
      <c r="D18" s="43">
        <v>8940</v>
      </c>
      <c r="E18" s="43">
        <v>32474</v>
      </c>
      <c r="F18" s="43">
        <v>40925</v>
      </c>
      <c r="G18" s="43" t="s">
        <v>664</v>
      </c>
      <c r="H18" s="43">
        <f>IFERROR(VLOOKUP(B18,'Ene - May'!$B$13:$G$256,6,0),0)-D18</f>
        <v>0</v>
      </c>
    </row>
    <row r="19" spans="1:8" ht="15" customHeight="1">
      <c r="A19" s="49"/>
      <c r="B19" s="42" t="s">
        <v>683</v>
      </c>
      <c r="C19" s="42" t="s">
        <v>483</v>
      </c>
      <c r="D19" s="43">
        <v>3326</v>
      </c>
      <c r="E19" s="43">
        <v>19657</v>
      </c>
      <c r="F19" s="43">
        <v>20711</v>
      </c>
      <c r="G19" s="43">
        <v>2272</v>
      </c>
      <c r="H19" s="43">
        <f>IFERROR(VLOOKUP(B19,'Ene - May'!$B$13:$G$256,6,0),0)-D19</f>
        <v>0</v>
      </c>
    </row>
    <row r="20" spans="1:8" ht="15.95" customHeight="1">
      <c r="A20" s="49"/>
      <c r="B20" s="42" t="s">
        <v>684</v>
      </c>
      <c r="C20" s="42" t="s">
        <v>484</v>
      </c>
      <c r="D20" s="43">
        <v>2122</v>
      </c>
      <c r="E20" s="43">
        <v>2289</v>
      </c>
      <c r="F20" s="43">
        <v>3158</v>
      </c>
      <c r="G20" s="43">
        <v>1253</v>
      </c>
      <c r="H20" s="43">
        <f>IFERROR(VLOOKUP(B20,'Ene - May'!$B$13:$G$256,6,0),0)-D20</f>
        <v>0</v>
      </c>
    </row>
    <row r="21" spans="1:8" ht="15.95" customHeight="1">
      <c r="A21" s="49"/>
      <c r="B21" s="42" t="s">
        <v>685</v>
      </c>
      <c r="C21" s="42" t="s">
        <v>485</v>
      </c>
      <c r="D21" s="43">
        <v>1291</v>
      </c>
      <c r="E21" s="43">
        <v>17590</v>
      </c>
      <c r="F21" s="43">
        <v>16591</v>
      </c>
      <c r="G21" s="43">
        <v>2291</v>
      </c>
      <c r="H21" s="43">
        <f>IFERROR(VLOOKUP(B21,'Ene - May'!$B$13:$G$256,6,0),0)-D21</f>
        <v>0</v>
      </c>
    </row>
    <row r="22" spans="1:8" ht="15" customHeight="1">
      <c r="A22" s="49"/>
      <c r="B22" s="42" t="s">
        <v>686</v>
      </c>
      <c r="C22" s="42" t="s">
        <v>756</v>
      </c>
      <c r="D22" s="43">
        <v>3657</v>
      </c>
      <c r="E22" s="43">
        <v>4379</v>
      </c>
      <c r="F22" s="43">
        <v>7668</v>
      </c>
      <c r="G22" s="43" t="s">
        <v>663</v>
      </c>
      <c r="H22" s="43">
        <f>IFERROR(VLOOKUP(B22,'Ene - May'!$B$13:$G$256,6,0),0)-D22</f>
        <v>0</v>
      </c>
    </row>
    <row r="23" spans="1:8" ht="15.95" customHeight="1">
      <c r="A23" s="49"/>
      <c r="B23" s="42" t="s">
        <v>170</v>
      </c>
      <c r="C23" s="42" t="s">
        <v>487</v>
      </c>
      <c r="D23" s="43">
        <v>6550</v>
      </c>
      <c r="E23" s="43">
        <v>273287</v>
      </c>
      <c r="F23" s="43">
        <v>276422</v>
      </c>
      <c r="G23" s="43">
        <v>3415</v>
      </c>
      <c r="H23" s="43">
        <f>IFERROR(VLOOKUP(B23,'Ene - May'!$B$13:$G$256,6,0),0)-D23</f>
        <v>0</v>
      </c>
    </row>
    <row r="24" spans="1:8" ht="15.95" customHeight="1">
      <c r="A24" s="49"/>
      <c r="B24" s="42" t="s">
        <v>279</v>
      </c>
      <c r="C24" s="42" t="s">
        <v>414</v>
      </c>
      <c r="D24" s="43" t="s">
        <v>413</v>
      </c>
      <c r="E24" s="43">
        <v>106961</v>
      </c>
      <c r="F24" s="43">
        <v>106961</v>
      </c>
      <c r="G24" s="43" t="s">
        <v>413</v>
      </c>
      <c r="H24" s="43">
        <f>IFERROR(VLOOKUP(B24,'Ene - May'!$B$13:$G$256,6,0),0)-D24</f>
        <v>0</v>
      </c>
    </row>
    <row r="25" spans="1:8" ht="15" customHeight="1">
      <c r="A25" s="49"/>
      <c r="B25" s="42" t="s">
        <v>148</v>
      </c>
      <c r="C25" s="42" t="s">
        <v>15</v>
      </c>
      <c r="D25" s="43" t="s">
        <v>413</v>
      </c>
      <c r="E25" s="43">
        <v>10189739</v>
      </c>
      <c r="F25" s="43">
        <v>10189739</v>
      </c>
      <c r="G25" s="43" t="s">
        <v>413</v>
      </c>
      <c r="H25" s="43">
        <f>IFERROR(VLOOKUP(B25,'Ene - May'!$B$13:$G$256,6,0),0)-D25</f>
        <v>0</v>
      </c>
    </row>
    <row r="26" spans="1:8" ht="15" customHeight="1">
      <c r="A26" s="49"/>
      <c r="B26" s="42" t="s">
        <v>381</v>
      </c>
      <c r="C26" s="42" t="s">
        <v>488</v>
      </c>
      <c r="D26" s="43" t="s">
        <v>413</v>
      </c>
      <c r="E26" s="43">
        <v>29719</v>
      </c>
      <c r="F26" s="43">
        <v>29719</v>
      </c>
      <c r="G26" s="43" t="s">
        <v>413</v>
      </c>
      <c r="H26" s="43">
        <f>IFERROR(VLOOKUP(B26,'Ene - May'!$B$13:$G$256,6,0),0)-D26</f>
        <v>0</v>
      </c>
    </row>
    <row r="27" spans="1:8" ht="15.95" customHeight="1">
      <c r="A27" s="49"/>
      <c r="B27" s="42" t="s">
        <v>281</v>
      </c>
      <c r="C27" s="42" t="s">
        <v>16</v>
      </c>
      <c r="D27" s="43" t="s">
        <v>413</v>
      </c>
      <c r="E27" s="43">
        <v>10160019</v>
      </c>
      <c r="F27" s="43">
        <v>10160019</v>
      </c>
      <c r="G27" s="43" t="s">
        <v>413</v>
      </c>
      <c r="H27" s="43">
        <f>IFERROR(VLOOKUP(B27,'Ene - May'!$B$13:$G$256,6,0),0)-D27</f>
        <v>0</v>
      </c>
    </row>
    <row r="28" spans="1:8" ht="15" customHeight="1">
      <c r="A28" s="49"/>
      <c r="B28" s="42" t="s">
        <v>229</v>
      </c>
      <c r="C28" s="42" t="s">
        <v>226</v>
      </c>
      <c r="D28" s="43">
        <v>43545</v>
      </c>
      <c r="E28" s="43">
        <v>6786660</v>
      </c>
      <c r="F28" s="43">
        <v>3555342</v>
      </c>
      <c r="G28" s="43">
        <v>3274863</v>
      </c>
      <c r="H28" s="43">
        <f>IFERROR(VLOOKUP(B28,'Ene - May'!$B$13:$G$256,6,0),0)-D28</f>
        <v>0</v>
      </c>
    </row>
    <row r="29" spans="1:8" ht="15" customHeight="1">
      <c r="A29" s="49"/>
      <c r="B29" s="42" t="s">
        <v>405</v>
      </c>
      <c r="C29" s="42" t="s">
        <v>489</v>
      </c>
      <c r="D29" s="43">
        <v>43545</v>
      </c>
      <c r="E29" s="43">
        <v>3231318</v>
      </c>
      <c r="F29" s="43" t="s">
        <v>413</v>
      </c>
      <c r="G29" s="43">
        <v>3274863</v>
      </c>
      <c r="H29" s="43">
        <f>IFERROR(VLOOKUP(B29,'Ene - May'!$B$13:$G$256,6,0),0)-D29</f>
        <v>0</v>
      </c>
    </row>
    <row r="30" spans="1:8" ht="15" customHeight="1">
      <c r="A30" s="49"/>
      <c r="B30" s="42" t="s">
        <v>371</v>
      </c>
      <c r="C30" s="42" t="s">
        <v>359</v>
      </c>
      <c r="D30" s="43" t="s">
        <v>413</v>
      </c>
      <c r="E30" s="43">
        <v>3555342</v>
      </c>
      <c r="F30" s="43">
        <v>3555342</v>
      </c>
      <c r="G30" s="43" t="s">
        <v>413</v>
      </c>
      <c r="H30" s="43">
        <f>IFERROR(VLOOKUP(B30,'Ene - May'!$B$13:$G$256,6,0),0)-D30</f>
        <v>0</v>
      </c>
    </row>
    <row r="31" spans="1:8" ht="15" customHeight="1">
      <c r="A31" s="49"/>
      <c r="B31" s="42" t="s">
        <v>634</v>
      </c>
      <c r="C31" s="42" t="s">
        <v>490</v>
      </c>
      <c r="D31" s="43">
        <v>6375080</v>
      </c>
      <c r="E31" s="43">
        <v>6342295</v>
      </c>
      <c r="F31" s="43">
        <v>2167851</v>
      </c>
      <c r="G31" s="43">
        <v>10549525</v>
      </c>
      <c r="H31" s="43">
        <f>IFERROR(VLOOKUP(B31,'Ene - May'!$B$13:$G$256,6,0),0)-D31</f>
        <v>0</v>
      </c>
    </row>
    <row r="32" spans="1:8" ht="15.95" customHeight="1">
      <c r="A32" s="49"/>
      <c r="B32" s="42" t="s">
        <v>283</v>
      </c>
      <c r="C32" s="42" t="s">
        <v>17</v>
      </c>
      <c r="D32" s="43">
        <v>6375080</v>
      </c>
      <c r="E32" s="43">
        <v>6342295</v>
      </c>
      <c r="F32" s="43">
        <v>2167851</v>
      </c>
      <c r="G32" s="43">
        <v>10549525</v>
      </c>
      <c r="H32" s="43">
        <f>IFERROR(VLOOKUP(B32,'Ene - May'!$B$13:$G$256,6,0),0)-D32</f>
        <v>0</v>
      </c>
    </row>
    <row r="33" spans="1:8" ht="15" customHeight="1">
      <c r="A33" s="49"/>
      <c r="B33" s="42" t="s">
        <v>687</v>
      </c>
      <c r="C33" s="42" t="s">
        <v>491</v>
      </c>
      <c r="D33" s="43">
        <v>1431</v>
      </c>
      <c r="E33" s="43" t="s">
        <v>413</v>
      </c>
      <c r="F33" s="43" t="s">
        <v>413</v>
      </c>
      <c r="G33" s="43">
        <v>1431</v>
      </c>
      <c r="H33" s="43">
        <f>IFERROR(VLOOKUP(B33,'Ene - May'!$B$13:$G$256,6,0),0)-D33</f>
        <v>0</v>
      </c>
    </row>
    <row r="34" spans="1:8" ht="15" customHeight="1">
      <c r="A34" s="49"/>
      <c r="B34" s="42" t="s">
        <v>688</v>
      </c>
      <c r="C34" s="42" t="s">
        <v>492</v>
      </c>
      <c r="D34" s="43">
        <v>1431</v>
      </c>
      <c r="E34" s="43" t="s">
        <v>413</v>
      </c>
      <c r="F34" s="43" t="s">
        <v>413</v>
      </c>
      <c r="G34" s="43">
        <v>1431</v>
      </c>
      <c r="H34" s="43">
        <f>IFERROR(VLOOKUP(B34,'Ene - May'!$B$13:$G$256,6,0),0)-D34</f>
        <v>0</v>
      </c>
    </row>
    <row r="35" spans="1:8" ht="15" customHeight="1">
      <c r="A35" s="49"/>
      <c r="B35" s="42" t="s">
        <v>689</v>
      </c>
      <c r="C35" s="42" t="s">
        <v>493</v>
      </c>
      <c r="D35" s="43">
        <v>1431</v>
      </c>
      <c r="E35" s="43" t="s">
        <v>413</v>
      </c>
      <c r="F35" s="43" t="s">
        <v>413</v>
      </c>
      <c r="G35" s="43">
        <v>1431</v>
      </c>
      <c r="H35" s="43">
        <f>IFERROR(VLOOKUP(B35,'Ene - May'!$B$13:$G$256,6,0),0)-D35</f>
        <v>0</v>
      </c>
    </row>
    <row r="36" spans="1:8" ht="15" customHeight="1">
      <c r="A36" s="49"/>
      <c r="B36" s="42" t="s">
        <v>690</v>
      </c>
      <c r="C36" s="42" t="s">
        <v>492</v>
      </c>
      <c r="D36" s="43" t="s">
        <v>413</v>
      </c>
      <c r="E36" s="43" t="s">
        <v>413</v>
      </c>
      <c r="F36" s="43" t="s">
        <v>413</v>
      </c>
      <c r="G36" s="43" t="s">
        <v>413</v>
      </c>
      <c r="H36" s="43">
        <f>IFERROR(VLOOKUP(B36,'Ene - May'!$B$13:$G$256,6,0),0)-D36</f>
        <v>0</v>
      </c>
    </row>
    <row r="37" spans="1:8" ht="15" customHeight="1">
      <c r="A37" s="49"/>
      <c r="B37" s="42" t="s">
        <v>691</v>
      </c>
      <c r="C37" s="42" t="s">
        <v>494</v>
      </c>
      <c r="D37" s="43" t="s">
        <v>413</v>
      </c>
      <c r="E37" s="43" t="s">
        <v>413</v>
      </c>
      <c r="F37" s="43" t="s">
        <v>413</v>
      </c>
      <c r="G37" s="43" t="s">
        <v>413</v>
      </c>
      <c r="H37" s="43">
        <f>IFERROR(VLOOKUP(B37,'Ene - May'!$B$13:$G$256,6,0),0)-D37</f>
        <v>0</v>
      </c>
    </row>
    <row r="38" spans="1:8" ht="15" customHeight="1">
      <c r="A38" s="49"/>
      <c r="B38" s="42" t="s">
        <v>149</v>
      </c>
      <c r="C38" s="42" t="s">
        <v>18</v>
      </c>
      <c r="D38" s="43">
        <v>6373649</v>
      </c>
      <c r="E38" s="43">
        <v>6342295</v>
      </c>
      <c r="F38" s="43">
        <v>2167851</v>
      </c>
      <c r="G38" s="43">
        <v>10548093</v>
      </c>
      <c r="H38" s="43">
        <f>IFERROR(VLOOKUP(B38,'Ene - May'!$B$13:$G$256,6,0),0)-D38</f>
        <v>0</v>
      </c>
    </row>
    <row r="39" spans="1:8" ht="15" customHeight="1">
      <c r="A39" s="49"/>
      <c r="B39" s="42" t="s">
        <v>692</v>
      </c>
      <c r="C39" s="42" t="s">
        <v>757</v>
      </c>
      <c r="D39" s="43">
        <v>203559</v>
      </c>
      <c r="E39" s="43">
        <v>904005</v>
      </c>
      <c r="F39" s="43">
        <v>802623</v>
      </c>
      <c r="G39" s="43">
        <v>304941</v>
      </c>
      <c r="H39" s="43">
        <f>IFERROR(VLOOKUP(B39,'Ene - May'!$B$13:$G$256,6,0),0)-D39</f>
        <v>0</v>
      </c>
    </row>
    <row r="40" spans="1:8" ht="15" customHeight="1">
      <c r="A40" s="49"/>
      <c r="B40" s="42" t="s">
        <v>693</v>
      </c>
      <c r="C40" s="42" t="s">
        <v>496</v>
      </c>
      <c r="D40" s="43">
        <v>203559</v>
      </c>
      <c r="E40" s="43">
        <v>904005</v>
      </c>
      <c r="F40" s="43">
        <v>802623</v>
      </c>
      <c r="G40" s="43">
        <v>304941</v>
      </c>
      <c r="H40" s="43">
        <f>IFERROR(VLOOKUP(B40,'Ene - May'!$B$13:$G$256,6,0),0)-D40</f>
        <v>0</v>
      </c>
    </row>
    <row r="41" spans="1:8" ht="15" customHeight="1">
      <c r="A41" s="49"/>
      <c r="B41" s="42" t="s">
        <v>694</v>
      </c>
      <c r="C41" s="42" t="s">
        <v>758</v>
      </c>
      <c r="D41" s="43">
        <v>6170090</v>
      </c>
      <c r="E41" s="43">
        <v>5438290</v>
      </c>
      <c r="F41" s="43">
        <v>1365228</v>
      </c>
      <c r="G41" s="43">
        <v>10243153</v>
      </c>
      <c r="H41" s="43">
        <f>IFERROR(VLOOKUP(B41,'Ene - May'!$B$13:$G$256,6,0),0)-D41</f>
        <v>0</v>
      </c>
    </row>
    <row r="42" spans="1:8" ht="15" customHeight="1">
      <c r="A42" s="49"/>
      <c r="B42" s="42" t="s">
        <v>695</v>
      </c>
      <c r="C42" s="42" t="s">
        <v>498</v>
      </c>
      <c r="D42" s="43">
        <v>5228277</v>
      </c>
      <c r="E42" s="43">
        <v>4204012</v>
      </c>
      <c r="F42" s="43">
        <v>1170914</v>
      </c>
      <c r="G42" s="43">
        <v>8261376</v>
      </c>
      <c r="H42" s="43">
        <f>IFERROR(VLOOKUP(B42,'Ene - May'!$B$13:$G$256,6,0),0)-D42</f>
        <v>0</v>
      </c>
    </row>
    <row r="43" spans="1:8" ht="15" customHeight="1">
      <c r="A43" s="49"/>
      <c r="B43" s="42" t="s">
        <v>696</v>
      </c>
      <c r="C43" s="42" t="s">
        <v>499</v>
      </c>
      <c r="D43" s="43">
        <v>90678</v>
      </c>
      <c r="E43" s="43" t="s">
        <v>413</v>
      </c>
      <c r="F43" s="43" t="s">
        <v>413</v>
      </c>
      <c r="G43" s="43">
        <v>90678</v>
      </c>
      <c r="H43" s="43">
        <f>IFERROR(VLOOKUP(B43,'Ene - May'!$B$13:$G$256,6,0),0)-D43</f>
        <v>0</v>
      </c>
    </row>
    <row r="44" spans="1:8" ht="15" customHeight="1">
      <c r="A44" s="49"/>
      <c r="B44" s="42" t="s">
        <v>697</v>
      </c>
      <c r="C44" s="42" t="s">
        <v>759</v>
      </c>
      <c r="D44" s="43">
        <v>37669</v>
      </c>
      <c r="E44" s="43" t="s">
        <v>413</v>
      </c>
      <c r="F44" s="43" t="s">
        <v>413</v>
      </c>
      <c r="G44" s="43">
        <v>37669</v>
      </c>
      <c r="H44" s="43">
        <f>IFERROR(VLOOKUP(B44,'Ene - May'!$B$13:$G$256,6,0),0)-D44</f>
        <v>0</v>
      </c>
    </row>
    <row r="45" spans="1:8" ht="15.95" customHeight="1">
      <c r="A45" s="49"/>
      <c r="B45" s="42" t="s">
        <v>733</v>
      </c>
      <c r="C45" s="42" t="s">
        <v>760</v>
      </c>
      <c r="D45" s="43" t="s">
        <v>413</v>
      </c>
      <c r="E45" s="43" t="s">
        <v>413</v>
      </c>
      <c r="F45" s="43" t="s">
        <v>413</v>
      </c>
      <c r="G45" s="43" t="s">
        <v>413</v>
      </c>
      <c r="H45" s="43">
        <f>IFERROR(VLOOKUP(B45,'Ene - May'!$B$13:$G$256,6,0),0)-D45</f>
        <v>0</v>
      </c>
    </row>
    <row r="46" spans="1:8" ht="15" customHeight="1">
      <c r="A46" s="49"/>
      <c r="B46" s="42" t="s">
        <v>698</v>
      </c>
      <c r="C46" s="42" t="s">
        <v>501</v>
      </c>
      <c r="D46" s="43">
        <v>28812</v>
      </c>
      <c r="E46" s="43">
        <v>136479</v>
      </c>
      <c r="F46" s="43">
        <v>2415</v>
      </c>
      <c r="G46" s="43">
        <v>162876</v>
      </c>
      <c r="H46" s="43">
        <f>IFERROR(VLOOKUP(B46,'Ene - May'!$B$13:$G$256,6,0),0)-D46</f>
        <v>0</v>
      </c>
    </row>
    <row r="47" spans="1:8" ht="15.95" customHeight="1">
      <c r="A47" s="49"/>
      <c r="B47" s="42" t="s">
        <v>699</v>
      </c>
      <c r="C47" s="42" t="s">
        <v>485</v>
      </c>
      <c r="D47" s="43">
        <v>784654</v>
      </c>
      <c r="E47" s="43">
        <v>1079799</v>
      </c>
      <c r="F47" s="43">
        <v>191899</v>
      </c>
      <c r="G47" s="43">
        <v>1672554</v>
      </c>
      <c r="H47" s="43">
        <f>IFERROR(VLOOKUP(B47,'Ene - May'!$B$13:$G$256,6,0),0)-D47</f>
        <v>0</v>
      </c>
    </row>
    <row r="48" spans="1:8" ht="15" customHeight="1">
      <c r="A48" s="49"/>
      <c r="B48" s="42" t="s">
        <v>734</v>
      </c>
      <c r="C48" s="42" t="s">
        <v>756</v>
      </c>
      <c r="D48" s="43" t="s">
        <v>413</v>
      </c>
      <c r="E48" s="43">
        <v>18000</v>
      </c>
      <c r="F48" s="43" t="s">
        <v>413</v>
      </c>
      <c r="G48" s="43">
        <v>18000</v>
      </c>
      <c r="H48" s="43">
        <f>IFERROR(VLOOKUP(B48,'Ene - May'!$B$13:$G$256,6,0),0)-D48</f>
        <v>0</v>
      </c>
    </row>
    <row r="49" spans="1:8" ht="15" customHeight="1">
      <c r="A49" s="49"/>
      <c r="B49" s="42" t="s">
        <v>551</v>
      </c>
      <c r="C49" s="42" t="s">
        <v>502</v>
      </c>
      <c r="D49" s="43" t="s">
        <v>413</v>
      </c>
      <c r="E49" s="43" t="s">
        <v>640</v>
      </c>
      <c r="F49" s="43" t="s">
        <v>413</v>
      </c>
      <c r="G49" s="43" t="s">
        <v>640</v>
      </c>
      <c r="H49" s="43">
        <f>IFERROR(VLOOKUP(B49,'Ene - May'!$B$13:$G$256,6,0),0)-D49</f>
        <v>0</v>
      </c>
    </row>
    <row r="50" spans="1:8" ht="15" customHeight="1">
      <c r="A50" s="49"/>
      <c r="B50" s="42" t="s">
        <v>150</v>
      </c>
      <c r="C50" s="42" t="s">
        <v>19</v>
      </c>
      <c r="D50" s="43" t="s">
        <v>413</v>
      </c>
      <c r="E50" s="43" t="s">
        <v>640</v>
      </c>
      <c r="F50" s="43" t="s">
        <v>413</v>
      </c>
      <c r="G50" s="43" t="s">
        <v>640</v>
      </c>
      <c r="H50" s="43">
        <f>IFERROR(VLOOKUP(B50,'Ene - May'!$B$13:$G$256,6,0),0)-D50</f>
        <v>0</v>
      </c>
    </row>
    <row r="51" spans="1:8" ht="15" customHeight="1">
      <c r="A51" s="49"/>
      <c r="B51" s="42" t="s">
        <v>552</v>
      </c>
      <c r="C51" s="42" t="s">
        <v>70</v>
      </c>
      <c r="D51" s="43" t="s">
        <v>413</v>
      </c>
      <c r="E51" s="43" t="s">
        <v>413</v>
      </c>
      <c r="F51" s="43" t="s">
        <v>413</v>
      </c>
      <c r="G51" s="43" t="s">
        <v>413</v>
      </c>
      <c r="H51" s="43">
        <f>IFERROR(VLOOKUP(B51,'Ene - May'!$B$13:$G$256,6,0),0)-D51</f>
        <v>0</v>
      </c>
    </row>
    <row r="52" spans="1:8" ht="15" customHeight="1">
      <c r="A52" s="49"/>
      <c r="B52" s="42" t="s">
        <v>553</v>
      </c>
      <c r="C52" s="42" t="s">
        <v>71</v>
      </c>
      <c r="D52" s="43" t="s">
        <v>413</v>
      </c>
      <c r="E52" s="43" t="s">
        <v>413</v>
      </c>
      <c r="F52" s="43" t="s">
        <v>413</v>
      </c>
      <c r="G52" s="43" t="s">
        <v>413</v>
      </c>
      <c r="H52" s="43">
        <f>IFERROR(VLOOKUP(B52,'Ene - May'!$B$13:$G$256,6,0),0)-D52</f>
        <v>0</v>
      </c>
    </row>
    <row r="53" spans="1:8" ht="15.95" customHeight="1">
      <c r="A53" s="49"/>
      <c r="B53" s="42" t="s">
        <v>700</v>
      </c>
      <c r="C53" s="42" t="s">
        <v>20</v>
      </c>
      <c r="D53" s="43" t="s">
        <v>413</v>
      </c>
      <c r="E53" s="43" t="s">
        <v>640</v>
      </c>
      <c r="F53" s="43" t="s">
        <v>413</v>
      </c>
      <c r="G53" s="43" t="s">
        <v>640</v>
      </c>
      <c r="H53" s="43">
        <f>IFERROR(VLOOKUP(B53,'Ene - May'!$B$13:$G$256,6,0),0)-D53</f>
        <v>0</v>
      </c>
    </row>
    <row r="54" spans="1:8" ht="15.95" customHeight="1">
      <c r="A54" s="49"/>
      <c r="B54" s="42" t="s">
        <v>735</v>
      </c>
      <c r="C54" s="42" t="s">
        <v>21</v>
      </c>
      <c r="D54" s="43" t="s">
        <v>413</v>
      </c>
      <c r="E54" s="43" t="s">
        <v>413</v>
      </c>
      <c r="F54" s="43" t="s">
        <v>413</v>
      </c>
      <c r="G54" s="43" t="s">
        <v>413</v>
      </c>
      <c r="H54" s="43">
        <f>IFERROR(VLOOKUP(B54,'Ene - May'!$B$13:$G$256,6,0),0)-D54</f>
        <v>0</v>
      </c>
    </row>
    <row r="55" spans="1:8" ht="15.95" customHeight="1">
      <c r="A55" s="49"/>
      <c r="B55" s="42" t="s">
        <v>736</v>
      </c>
      <c r="C55" s="42" t="s">
        <v>72</v>
      </c>
      <c r="D55" s="43" t="s">
        <v>413</v>
      </c>
      <c r="E55" s="43" t="s">
        <v>413</v>
      </c>
      <c r="F55" s="43" t="s">
        <v>413</v>
      </c>
      <c r="G55" s="43" t="s">
        <v>413</v>
      </c>
      <c r="H55" s="43">
        <f>IFERROR(VLOOKUP(B55,'Ene - May'!$B$13:$G$256,6,0),0)-D55</f>
        <v>0</v>
      </c>
    </row>
    <row r="56" spans="1:8" ht="15.95" customHeight="1">
      <c r="A56" s="49"/>
      <c r="B56" s="42" t="s">
        <v>701</v>
      </c>
      <c r="C56" s="42" t="s">
        <v>73</v>
      </c>
      <c r="D56" s="43" t="s">
        <v>413</v>
      </c>
      <c r="E56" s="43" t="s">
        <v>640</v>
      </c>
      <c r="F56" s="43" t="s">
        <v>413</v>
      </c>
      <c r="G56" s="43" t="s">
        <v>640</v>
      </c>
      <c r="H56" s="43">
        <f>IFERROR(VLOOKUP(B56,'Ene - May'!$B$13:$G$256,6,0),0)-D56</f>
        <v>0</v>
      </c>
    </row>
    <row r="57" spans="1:8" ht="15.95" customHeight="1">
      <c r="A57" s="49"/>
      <c r="B57" s="42" t="s">
        <v>284</v>
      </c>
      <c r="C57" s="42" t="s">
        <v>22</v>
      </c>
      <c r="D57" s="43">
        <v>278762</v>
      </c>
      <c r="E57" s="43">
        <v>158713</v>
      </c>
      <c r="F57" s="43">
        <v>82293</v>
      </c>
      <c r="G57" s="43">
        <v>355181</v>
      </c>
      <c r="H57" s="43">
        <f>IFERROR(VLOOKUP(B57,'Ene - May'!$B$13:$G$256,6,0),0)-D57</f>
        <v>0</v>
      </c>
    </row>
    <row r="58" spans="1:8" ht="15" customHeight="1">
      <c r="A58" s="49"/>
      <c r="B58" s="42" t="s">
        <v>151</v>
      </c>
      <c r="C58" s="42" t="s">
        <v>23</v>
      </c>
      <c r="D58" s="43">
        <v>657371</v>
      </c>
      <c r="E58" s="43">
        <v>158293</v>
      </c>
      <c r="F58" s="43" t="s">
        <v>413</v>
      </c>
      <c r="G58" s="43">
        <v>815664</v>
      </c>
      <c r="H58" s="43">
        <f>IFERROR(VLOOKUP(B58,'Ene - May'!$B$13:$G$256,6,0),0)-D58</f>
        <v>0</v>
      </c>
    </row>
    <row r="59" spans="1:8" ht="15.95" customHeight="1">
      <c r="A59" s="49"/>
      <c r="B59" s="42" t="s">
        <v>285</v>
      </c>
      <c r="C59" s="42" t="s">
        <v>24</v>
      </c>
      <c r="D59" s="43">
        <v>57790</v>
      </c>
      <c r="E59" s="43">
        <v>13205</v>
      </c>
      <c r="F59" s="43" t="s">
        <v>413</v>
      </c>
      <c r="G59" s="43">
        <v>70996</v>
      </c>
      <c r="H59" s="43">
        <f>IFERROR(VLOOKUP(B59,'Ene - May'!$B$13:$G$256,6,0),0)-D59</f>
        <v>0</v>
      </c>
    </row>
    <row r="60" spans="1:8" ht="15" customHeight="1">
      <c r="A60" s="49"/>
      <c r="B60" s="42" t="s">
        <v>554</v>
      </c>
      <c r="C60" s="42" t="s">
        <v>503</v>
      </c>
      <c r="D60" s="43">
        <v>46862</v>
      </c>
      <c r="E60" s="43">
        <v>11807</v>
      </c>
      <c r="F60" s="43" t="s">
        <v>413</v>
      </c>
      <c r="G60" s="43">
        <v>58669</v>
      </c>
      <c r="H60" s="43">
        <f>IFERROR(VLOOKUP(B60,'Ene - May'!$B$13:$G$256,6,0),0)-D60</f>
        <v>0</v>
      </c>
    </row>
    <row r="61" spans="1:8" ht="15.95" customHeight="1">
      <c r="A61" s="49"/>
      <c r="B61" s="42" t="s">
        <v>286</v>
      </c>
      <c r="C61" s="42" t="s">
        <v>25</v>
      </c>
      <c r="D61" s="43">
        <v>221733</v>
      </c>
      <c r="E61" s="43">
        <v>55284</v>
      </c>
      <c r="F61" s="43" t="s">
        <v>413</v>
      </c>
      <c r="G61" s="43">
        <v>277016</v>
      </c>
      <c r="H61" s="43">
        <f>IFERROR(VLOOKUP(B61,'Ene - May'!$B$13:$G$256,6,0),0)-D61</f>
        <v>0</v>
      </c>
    </row>
    <row r="62" spans="1:8" ht="15" customHeight="1">
      <c r="A62" s="49"/>
      <c r="B62" s="42" t="s">
        <v>287</v>
      </c>
      <c r="C62" s="42" t="s">
        <v>26</v>
      </c>
      <c r="D62" s="43">
        <v>322306</v>
      </c>
      <c r="E62" s="43">
        <v>77815</v>
      </c>
      <c r="F62" s="43" t="s">
        <v>413</v>
      </c>
      <c r="G62" s="43">
        <v>400121</v>
      </c>
      <c r="H62" s="43">
        <f>IFERROR(VLOOKUP(B62,'Ene - May'!$B$13:$G$256,6,0),0)-D62</f>
        <v>0</v>
      </c>
    </row>
    <row r="63" spans="1:8" ht="15" customHeight="1">
      <c r="A63" s="49"/>
      <c r="B63" s="42" t="s">
        <v>555</v>
      </c>
      <c r="C63" s="42" t="s">
        <v>27</v>
      </c>
      <c r="D63" s="43">
        <v>8680</v>
      </c>
      <c r="E63" s="43" t="s">
        <v>662</v>
      </c>
      <c r="F63" s="43" t="s">
        <v>413</v>
      </c>
      <c r="G63" s="43">
        <v>8863</v>
      </c>
      <c r="H63" s="43">
        <f>IFERROR(VLOOKUP(B63,'Ene - May'!$B$13:$G$256,6,0),0)-D63</f>
        <v>0</v>
      </c>
    </row>
    <row r="64" spans="1:8" ht="15" customHeight="1">
      <c r="A64" s="49"/>
      <c r="B64" s="42" t="s">
        <v>221</v>
      </c>
      <c r="C64" s="42" t="s">
        <v>761</v>
      </c>
      <c r="D64" s="43" t="s">
        <v>413</v>
      </c>
      <c r="E64" s="43" t="s">
        <v>413</v>
      </c>
      <c r="F64" s="43" t="s">
        <v>413</v>
      </c>
      <c r="G64" s="43" t="s">
        <v>413</v>
      </c>
      <c r="H64" s="43">
        <f>IFERROR(VLOOKUP(B64,'Ene - May'!$B$13:$G$256,6,0),0)-D64</f>
        <v>0</v>
      </c>
    </row>
    <row r="65" spans="1:8" ht="15" customHeight="1">
      <c r="A65" s="49"/>
      <c r="B65" s="42" t="s">
        <v>737</v>
      </c>
      <c r="C65" s="42" t="s">
        <v>762</v>
      </c>
      <c r="D65" s="43" t="s">
        <v>413</v>
      </c>
      <c r="E65" s="43" t="s">
        <v>413</v>
      </c>
      <c r="F65" s="43" t="s">
        <v>413</v>
      </c>
      <c r="G65" s="43" t="s">
        <v>413</v>
      </c>
      <c r="H65" s="43">
        <f>IFERROR(VLOOKUP(B65,'Ene - May'!$B$13:$G$256,6,0),0)-D65</f>
        <v>0</v>
      </c>
    </row>
    <row r="66" spans="1:8" ht="15" customHeight="1">
      <c r="A66" s="49"/>
      <c r="B66" s="42" t="s">
        <v>152</v>
      </c>
      <c r="C66" s="42" t="s">
        <v>28</v>
      </c>
      <c r="D66" s="43" t="s">
        <v>413</v>
      </c>
      <c r="E66" s="43" t="s">
        <v>661</v>
      </c>
      <c r="F66" s="43" t="s">
        <v>413</v>
      </c>
      <c r="G66" s="43" t="s">
        <v>661</v>
      </c>
      <c r="H66" s="43">
        <f>IFERROR(VLOOKUP(B66,'Ene - May'!$B$13:$G$256,6,0),0)-D66</f>
        <v>0</v>
      </c>
    </row>
    <row r="67" spans="1:8" ht="15.95" customHeight="1">
      <c r="A67" s="49"/>
      <c r="B67" s="42" t="s">
        <v>738</v>
      </c>
      <c r="C67" s="42" t="s">
        <v>763</v>
      </c>
      <c r="D67" s="43" t="s">
        <v>413</v>
      </c>
      <c r="E67" s="43" t="s">
        <v>661</v>
      </c>
      <c r="F67" s="43" t="s">
        <v>413</v>
      </c>
      <c r="G67" s="43" t="s">
        <v>661</v>
      </c>
      <c r="H67" s="43">
        <f>IFERROR(VLOOKUP(B67,'Ene - May'!$B$13:$G$256,6,0),0)-D67</f>
        <v>0</v>
      </c>
    </row>
    <row r="68" spans="1:8" ht="15.95" customHeight="1">
      <c r="A68" s="49"/>
      <c r="B68" s="42" t="s">
        <v>739</v>
      </c>
      <c r="C68" s="42" t="s">
        <v>764</v>
      </c>
      <c r="D68" s="43" t="s">
        <v>413</v>
      </c>
      <c r="E68" s="43" t="s">
        <v>661</v>
      </c>
      <c r="F68" s="43" t="s">
        <v>413</v>
      </c>
      <c r="G68" s="43" t="s">
        <v>661</v>
      </c>
      <c r="H68" s="43">
        <f>IFERROR(VLOOKUP(B68,'Ene - May'!$B$13:$G$256,6,0),0)-D68</f>
        <v>0</v>
      </c>
    </row>
    <row r="69" spans="1:8" ht="15.95" customHeight="1">
      <c r="A69" s="49"/>
      <c r="B69" s="42" t="s">
        <v>740</v>
      </c>
      <c r="C69" s="42" t="s">
        <v>29</v>
      </c>
      <c r="D69" s="43" t="s">
        <v>413</v>
      </c>
      <c r="E69" s="43" t="s">
        <v>661</v>
      </c>
      <c r="F69" s="43" t="s">
        <v>413</v>
      </c>
      <c r="G69" s="43" t="s">
        <v>661</v>
      </c>
      <c r="H69" s="43">
        <f>IFERROR(VLOOKUP(B69,'Ene - May'!$B$13:$G$256,6,0),0)-D69</f>
        <v>0</v>
      </c>
    </row>
    <row r="70" spans="1:8" ht="15.95" customHeight="1">
      <c r="A70" s="49"/>
      <c r="B70" s="42" t="s">
        <v>741</v>
      </c>
      <c r="C70" s="42" t="s">
        <v>765</v>
      </c>
      <c r="D70" s="43" t="s">
        <v>413</v>
      </c>
      <c r="E70" s="43" t="s">
        <v>413</v>
      </c>
      <c r="F70" s="43" t="s">
        <v>413</v>
      </c>
      <c r="G70" s="43" t="s">
        <v>413</v>
      </c>
      <c r="H70" s="43">
        <f>IFERROR(VLOOKUP(B70,'Ene - May'!$B$13:$G$256,6,0),0)-D70</f>
        <v>0</v>
      </c>
    </row>
    <row r="71" spans="1:8" ht="15.95" customHeight="1">
      <c r="A71" s="49"/>
      <c r="B71" s="42" t="s">
        <v>742</v>
      </c>
      <c r="C71" s="42" t="s">
        <v>29</v>
      </c>
      <c r="D71" s="43" t="s">
        <v>413</v>
      </c>
      <c r="E71" s="43" t="s">
        <v>413</v>
      </c>
      <c r="F71" s="43" t="s">
        <v>413</v>
      </c>
      <c r="G71" s="43" t="s">
        <v>413</v>
      </c>
      <c r="H71" s="43">
        <f>IFERROR(VLOOKUP(B71,'Ene - May'!$B$13:$G$256,6,0),0)-D71</f>
        <v>0</v>
      </c>
    </row>
    <row r="72" spans="1:8" ht="15" customHeight="1">
      <c r="A72" s="49"/>
      <c r="B72" s="42" t="s">
        <v>166</v>
      </c>
      <c r="C72" s="42" t="s">
        <v>31</v>
      </c>
      <c r="D72" s="43">
        <v>-378609</v>
      </c>
      <c r="E72" s="43" t="s">
        <v>413</v>
      </c>
      <c r="F72" s="43">
        <v>82293</v>
      </c>
      <c r="G72" s="43">
        <v>-460903</v>
      </c>
      <c r="H72" s="43">
        <f>IFERROR(VLOOKUP(B72,'Ene - May'!$B$13:$G$256,6,0),0)-D72</f>
        <v>0</v>
      </c>
    </row>
    <row r="73" spans="1:8" ht="15" customHeight="1">
      <c r="A73" s="49"/>
      <c r="B73" s="42" t="s">
        <v>416</v>
      </c>
      <c r="C73" s="42" t="s">
        <v>417</v>
      </c>
      <c r="D73" s="43">
        <v>-26497</v>
      </c>
      <c r="E73" s="43" t="s">
        <v>413</v>
      </c>
      <c r="F73" s="43">
        <v>7824</v>
      </c>
      <c r="G73" s="43">
        <v>-34321</v>
      </c>
      <c r="H73" s="43">
        <f>IFERROR(VLOOKUP(B73,'Ene - May'!$B$13:$G$256,6,0),0)-D73</f>
        <v>0</v>
      </c>
    </row>
    <row r="74" spans="1:8" ht="15.95" customHeight="1">
      <c r="A74" s="49"/>
      <c r="B74" s="42" t="s">
        <v>556</v>
      </c>
      <c r="C74" s="42" t="s">
        <v>505</v>
      </c>
      <c r="D74" s="43">
        <v>-18673</v>
      </c>
      <c r="E74" s="43" t="s">
        <v>413</v>
      </c>
      <c r="F74" s="43">
        <v>9133</v>
      </c>
      <c r="G74" s="43">
        <v>-27806</v>
      </c>
      <c r="H74" s="43">
        <f>IFERROR(VLOOKUP(B74,'Ene - May'!$B$13:$G$256,6,0),0)-D74</f>
        <v>0</v>
      </c>
    </row>
    <row r="75" spans="1:8" ht="15.95" customHeight="1">
      <c r="A75" s="49"/>
      <c r="B75" s="42" t="s">
        <v>288</v>
      </c>
      <c r="C75" s="42" t="s">
        <v>32</v>
      </c>
      <c r="D75" s="43">
        <v>-132507</v>
      </c>
      <c r="E75" s="43" t="s">
        <v>413</v>
      </c>
      <c r="F75" s="43">
        <v>22036</v>
      </c>
      <c r="G75" s="43">
        <v>-154542</v>
      </c>
      <c r="H75" s="43">
        <f>IFERROR(VLOOKUP(B75,'Ene - May'!$B$13:$G$256,6,0),0)-D75</f>
        <v>0</v>
      </c>
    </row>
    <row r="76" spans="1:8" ht="15" customHeight="1">
      <c r="A76" s="49"/>
      <c r="B76" s="42" t="s">
        <v>337</v>
      </c>
      <c r="C76" s="42" t="s">
        <v>418</v>
      </c>
      <c r="D76" s="43">
        <v>-198816</v>
      </c>
      <c r="E76" s="43" t="s">
        <v>413</v>
      </c>
      <c r="F76" s="43">
        <v>40655</v>
      </c>
      <c r="G76" s="43">
        <v>-239472</v>
      </c>
      <c r="H76" s="43">
        <f>IFERROR(VLOOKUP(B76,'Ene - May'!$B$13:$G$256,6,0),0)-D76</f>
        <v>0</v>
      </c>
    </row>
    <row r="77" spans="1:8" ht="15.95" customHeight="1">
      <c r="A77" s="49"/>
      <c r="B77" s="42" t="s">
        <v>702</v>
      </c>
      <c r="C77" s="42" t="s">
        <v>766</v>
      </c>
      <c r="D77" s="43">
        <v>-2116</v>
      </c>
      <c r="E77" s="43" t="s">
        <v>413</v>
      </c>
      <c r="F77" s="43">
        <v>2645</v>
      </c>
      <c r="G77" s="43">
        <v>-4761</v>
      </c>
      <c r="H77" s="43">
        <f>IFERROR(VLOOKUP(B77,'Ene - May'!$B$13:$G$256,6,0),0)-D77</f>
        <v>0</v>
      </c>
    </row>
    <row r="78" spans="1:8" ht="15.95" customHeight="1">
      <c r="A78" s="49"/>
      <c r="B78" s="42" t="s">
        <v>557</v>
      </c>
      <c r="C78" s="42" t="s">
        <v>507</v>
      </c>
      <c r="D78" s="43">
        <v>126173</v>
      </c>
      <c r="E78" s="43">
        <v>35434</v>
      </c>
      <c r="F78" s="43">
        <v>34189</v>
      </c>
      <c r="G78" s="43">
        <v>127417</v>
      </c>
      <c r="H78" s="43">
        <f>IFERROR(VLOOKUP(B78,'Ene - May'!$B$13:$G$256,6,0),0)-D78</f>
        <v>0</v>
      </c>
    </row>
    <row r="79" spans="1:8" ht="17.100000000000001" customHeight="1">
      <c r="A79" s="49"/>
      <c r="B79" s="42" t="s">
        <v>153</v>
      </c>
      <c r="C79" s="42" t="s">
        <v>34</v>
      </c>
      <c r="D79" s="43">
        <v>252262</v>
      </c>
      <c r="E79" s="43">
        <v>35434</v>
      </c>
      <c r="F79" s="43" t="s">
        <v>413</v>
      </c>
      <c r="G79" s="43">
        <v>287696</v>
      </c>
      <c r="H79" s="43">
        <f>IFERROR(VLOOKUP(B79,'Ene - May'!$B$13:$G$256,6,0),0)-D79</f>
        <v>0</v>
      </c>
    </row>
    <row r="80" spans="1:8" ht="15" customHeight="1">
      <c r="A80" s="49"/>
      <c r="B80" s="42" t="s">
        <v>558</v>
      </c>
      <c r="C80" s="42" t="s">
        <v>30</v>
      </c>
      <c r="D80" s="43">
        <v>195566</v>
      </c>
      <c r="E80" s="43">
        <v>34243</v>
      </c>
      <c r="F80" s="43" t="s">
        <v>413</v>
      </c>
      <c r="G80" s="43">
        <v>229809</v>
      </c>
      <c r="H80" s="43">
        <f>IFERROR(VLOOKUP(B80,'Ene - May'!$B$13:$G$256,6,0),0)-D80</f>
        <v>0</v>
      </c>
    </row>
    <row r="81" spans="1:8" ht="15" customHeight="1">
      <c r="A81" s="49"/>
      <c r="B81" s="42" t="s">
        <v>703</v>
      </c>
      <c r="C81" s="42" t="s">
        <v>508</v>
      </c>
      <c r="D81" s="43">
        <v>56696</v>
      </c>
      <c r="E81" s="43">
        <v>1191</v>
      </c>
      <c r="F81" s="43" t="s">
        <v>413</v>
      </c>
      <c r="G81" s="43">
        <v>57886</v>
      </c>
      <c r="H81" s="43">
        <f>IFERROR(VLOOKUP(B81,'Ene - May'!$B$13:$G$256,6,0),0)-D81</f>
        <v>0</v>
      </c>
    </row>
    <row r="82" spans="1:8" ht="15.95" customHeight="1">
      <c r="A82" s="49"/>
      <c r="B82" s="42" t="s">
        <v>196</v>
      </c>
      <c r="C82" s="42" t="s">
        <v>509</v>
      </c>
      <c r="D82" s="43">
        <v>-126089</v>
      </c>
      <c r="E82" s="43" t="s">
        <v>413</v>
      </c>
      <c r="F82" s="43">
        <v>34189</v>
      </c>
      <c r="G82" s="43">
        <v>-160279</v>
      </c>
      <c r="H82" s="43">
        <f>IFERROR(VLOOKUP(B82,'Ene - May'!$B$13:$G$256,6,0),0)-D82</f>
        <v>0</v>
      </c>
    </row>
    <row r="83" spans="1:8" ht="15" customHeight="1">
      <c r="A83" s="49"/>
      <c r="B83" s="42" t="s">
        <v>559</v>
      </c>
      <c r="C83" s="42" t="s">
        <v>593</v>
      </c>
      <c r="D83" s="43">
        <v>-113860</v>
      </c>
      <c r="E83" s="43" t="s">
        <v>413</v>
      </c>
      <c r="F83" s="43">
        <v>21147</v>
      </c>
      <c r="G83" s="43">
        <v>-135006</v>
      </c>
      <c r="H83" s="43">
        <f>IFERROR(VLOOKUP(B83,'Ene - May'!$B$13:$G$256,6,0),0)-D83</f>
        <v>0</v>
      </c>
    </row>
    <row r="84" spans="1:8" ht="15" customHeight="1">
      <c r="A84" s="49"/>
      <c r="B84" s="42" t="s">
        <v>704</v>
      </c>
      <c r="C84" s="42" t="s">
        <v>511</v>
      </c>
      <c r="D84" s="43">
        <v>-12229</v>
      </c>
      <c r="E84" s="43" t="s">
        <v>413</v>
      </c>
      <c r="F84" s="43">
        <v>13043</v>
      </c>
      <c r="G84" s="43">
        <v>-25272</v>
      </c>
      <c r="H84" s="43">
        <f>IFERROR(VLOOKUP(B84,'Ene - May'!$B$13:$G$256,6,0),0)-D84</f>
        <v>0</v>
      </c>
    </row>
    <row r="85" spans="1:8" ht="15.95" customHeight="1">
      <c r="A85" s="49"/>
      <c r="B85" s="42" t="s">
        <v>144</v>
      </c>
      <c r="C85" s="42" t="s">
        <v>8</v>
      </c>
      <c r="D85" s="43">
        <v>-3437122</v>
      </c>
      <c r="E85" s="43">
        <v>9643978</v>
      </c>
      <c r="F85" s="43">
        <v>13333213</v>
      </c>
      <c r="G85" s="43">
        <v>-7126356</v>
      </c>
      <c r="H85" s="43">
        <f>IFERROR(VLOOKUP(B85,'Ene - May'!$B$13:$G$256,6,0),0)-D85</f>
        <v>340</v>
      </c>
    </row>
    <row r="86" spans="1:8" ht="15.95" customHeight="1">
      <c r="A86" s="49"/>
      <c r="B86" s="42" t="s">
        <v>289</v>
      </c>
      <c r="C86" s="42" t="s">
        <v>35</v>
      </c>
      <c r="D86" s="43">
        <v>-1130558</v>
      </c>
      <c r="E86" s="43">
        <v>9367930</v>
      </c>
      <c r="F86" s="43">
        <v>13333213</v>
      </c>
      <c r="G86" s="43">
        <v>-5095841</v>
      </c>
      <c r="H86" s="43">
        <f>IFERROR(VLOOKUP(B86,'Ene - May'!$B$13:$G$256,6,0),0)-D86</f>
        <v>340</v>
      </c>
    </row>
    <row r="87" spans="1:8" ht="15" customHeight="1">
      <c r="A87" s="49"/>
      <c r="B87" s="42" t="s">
        <v>290</v>
      </c>
      <c r="C87" s="42" t="s">
        <v>36</v>
      </c>
      <c r="D87" s="43">
        <v>-172842</v>
      </c>
      <c r="E87" s="43">
        <v>281713</v>
      </c>
      <c r="F87" s="43">
        <v>222267</v>
      </c>
      <c r="G87" s="43">
        <v>-113396</v>
      </c>
      <c r="H87" s="43">
        <f>IFERROR(VLOOKUP(B87,'Ene - May'!$B$13:$G$256,6,0),0)-D87</f>
        <v>0</v>
      </c>
    </row>
    <row r="88" spans="1:8" ht="15.95" customHeight="1">
      <c r="A88" s="49"/>
      <c r="B88" s="42" t="s">
        <v>705</v>
      </c>
      <c r="C88" s="42" t="s">
        <v>512</v>
      </c>
      <c r="D88" s="43">
        <v>-1678</v>
      </c>
      <c r="E88" s="43">
        <v>1678</v>
      </c>
      <c r="F88" s="43" t="s">
        <v>413</v>
      </c>
      <c r="G88" s="43" t="s">
        <v>413</v>
      </c>
      <c r="H88" s="43">
        <f>IFERROR(VLOOKUP(B88,'Ene - May'!$B$13:$G$256,6,0),0)-D88</f>
        <v>0</v>
      </c>
    </row>
    <row r="89" spans="1:8" ht="15.95" customHeight="1">
      <c r="A89" s="49"/>
      <c r="B89" s="42" t="s">
        <v>706</v>
      </c>
      <c r="C89" s="42" t="s">
        <v>480</v>
      </c>
      <c r="D89" s="43">
        <v>-1678</v>
      </c>
      <c r="E89" s="43">
        <v>1678</v>
      </c>
      <c r="F89" s="43" t="s">
        <v>413</v>
      </c>
      <c r="G89" s="43" t="s">
        <v>413</v>
      </c>
      <c r="H89" s="43">
        <f>IFERROR(VLOOKUP(B89,'Ene - May'!$B$13:$G$256,6,0),0)-D89</f>
        <v>0</v>
      </c>
    </row>
    <row r="90" spans="1:8" ht="15.95" customHeight="1">
      <c r="A90" s="49"/>
      <c r="B90" s="42" t="s">
        <v>707</v>
      </c>
      <c r="C90" s="42" t="s">
        <v>767</v>
      </c>
      <c r="D90" s="43" t="s">
        <v>413</v>
      </c>
      <c r="E90" s="43" t="s">
        <v>413</v>
      </c>
      <c r="F90" s="43" t="s">
        <v>413</v>
      </c>
      <c r="G90" s="43" t="s">
        <v>413</v>
      </c>
      <c r="H90" s="43">
        <f>IFERROR(VLOOKUP(B90,'Ene - May'!$B$13:$G$256,6,0),0)-D90</f>
        <v>0</v>
      </c>
    </row>
    <row r="91" spans="1:8" ht="15.95" customHeight="1">
      <c r="A91" s="49"/>
      <c r="B91" s="42" t="s">
        <v>560</v>
      </c>
      <c r="C91" s="42" t="s">
        <v>360</v>
      </c>
      <c r="D91" s="43">
        <v>-171164</v>
      </c>
      <c r="E91" s="43">
        <v>280035</v>
      </c>
      <c r="F91" s="43">
        <v>222267</v>
      </c>
      <c r="G91" s="43">
        <v>-113396</v>
      </c>
      <c r="H91" s="43">
        <f>IFERROR(VLOOKUP(B91,'Ene - May'!$B$13:$G$256,6,0),0)-D91</f>
        <v>0</v>
      </c>
    </row>
    <row r="92" spans="1:8" ht="15.95" customHeight="1">
      <c r="A92" s="49"/>
      <c r="B92" s="42" t="s">
        <v>291</v>
      </c>
      <c r="C92" s="42" t="s">
        <v>419</v>
      </c>
      <c r="D92" s="43" t="s">
        <v>413</v>
      </c>
      <c r="E92" s="43" t="s">
        <v>413</v>
      </c>
      <c r="F92" s="43" t="s">
        <v>413</v>
      </c>
      <c r="G92" s="43" t="s">
        <v>413</v>
      </c>
      <c r="H92" s="43">
        <f>IFERROR(VLOOKUP(B92,'Ene - May'!$B$13:$G$256,6,0),0)-D92</f>
        <v>0</v>
      </c>
    </row>
    <row r="93" spans="1:8" ht="15" customHeight="1">
      <c r="A93" s="49"/>
      <c r="B93" s="42" t="s">
        <v>155</v>
      </c>
      <c r="C93" s="42" t="s">
        <v>37</v>
      </c>
      <c r="D93" s="43">
        <v>-913531</v>
      </c>
      <c r="E93" s="43">
        <v>8705201</v>
      </c>
      <c r="F93" s="43">
        <v>9497788</v>
      </c>
      <c r="G93" s="43">
        <v>-1706118</v>
      </c>
      <c r="H93" s="43">
        <f>IFERROR(VLOOKUP(B93,'Ene - May'!$B$13:$G$256,6,0),0)-D93</f>
        <v>340</v>
      </c>
    </row>
    <row r="94" spans="1:8" ht="15.95" customHeight="1">
      <c r="A94" s="49"/>
      <c r="B94" s="42" t="s">
        <v>292</v>
      </c>
      <c r="C94" s="42" t="s">
        <v>38</v>
      </c>
      <c r="D94" s="43">
        <v>-64069</v>
      </c>
      <c r="E94" s="43">
        <v>1532755</v>
      </c>
      <c r="F94" s="43">
        <v>1538816</v>
      </c>
      <c r="G94" s="43">
        <v>-70130</v>
      </c>
      <c r="H94" s="43">
        <f>IFERROR(VLOOKUP(B94,'Ene - May'!$B$13:$G$256,6,0),0)-D94</f>
        <v>0</v>
      </c>
    </row>
    <row r="95" spans="1:8" ht="15" customHeight="1">
      <c r="A95" s="49"/>
      <c r="B95" s="42" t="s">
        <v>293</v>
      </c>
      <c r="C95" s="42" t="s">
        <v>39</v>
      </c>
      <c r="D95" s="43">
        <v>-11740</v>
      </c>
      <c r="E95" s="43">
        <v>488462</v>
      </c>
      <c r="F95" s="43">
        <v>548594</v>
      </c>
      <c r="G95" s="43">
        <v>-71872</v>
      </c>
      <c r="H95" s="43">
        <f>IFERROR(VLOOKUP(B95,'Ene - May'!$B$13:$G$256,6,0),0)-D95</f>
        <v>340</v>
      </c>
    </row>
    <row r="96" spans="1:8" ht="15.95" customHeight="1">
      <c r="A96" s="49"/>
      <c r="B96" s="42" t="s">
        <v>372</v>
      </c>
      <c r="C96" s="42" t="s">
        <v>361</v>
      </c>
      <c r="D96" s="43">
        <v>-453432</v>
      </c>
      <c r="E96" s="43">
        <v>5951510</v>
      </c>
      <c r="F96" s="43">
        <v>6943107</v>
      </c>
      <c r="G96" s="43">
        <v>-1445029</v>
      </c>
      <c r="H96" s="43">
        <f>IFERROR(VLOOKUP(B96,'Ene - May'!$B$13:$G$256,6,0),0)-D96</f>
        <v>0</v>
      </c>
    </row>
    <row r="97" spans="1:8" ht="15" customHeight="1">
      <c r="A97" s="49"/>
      <c r="B97" s="42" t="s">
        <v>294</v>
      </c>
      <c r="C97" s="42" t="s">
        <v>40</v>
      </c>
      <c r="D97" s="43" t="s">
        <v>660</v>
      </c>
      <c r="E97" s="43">
        <v>97179</v>
      </c>
      <c r="F97" s="43">
        <v>166075</v>
      </c>
      <c r="G97" s="43">
        <v>-68971</v>
      </c>
      <c r="H97" s="43">
        <f>IFERROR(VLOOKUP(B97,'Ene - May'!$B$13:$G$256,6,0),0)-D97</f>
        <v>0</v>
      </c>
    </row>
    <row r="98" spans="1:8" ht="15" customHeight="1">
      <c r="A98" s="49"/>
      <c r="B98" s="42" t="s">
        <v>561</v>
      </c>
      <c r="C98" s="42" t="s">
        <v>514</v>
      </c>
      <c r="D98" s="43">
        <v>-384215</v>
      </c>
      <c r="E98" s="43">
        <v>635296</v>
      </c>
      <c r="F98" s="43">
        <v>301197</v>
      </c>
      <c r="G98" s="43">
        <v>-50117</v>
      </c>
      <c r="H98" s="43">
        <f>IFERROR(VLOOKUP(B98,'Ene - May'!$B$13:$G$256,6,0),0)-D98</f>
        <v>0</v>
      </c>
    </row>
    <row r="99" spans="1:8" ht="15.95" customHeight="1">
      <c r="A99" s="49"/>
      <c r="B99" s="42" t="s">
        <v>406</v>
      </c>
      <c r="C99" s="42" t="s">
        <v>415</v>
      </c>
      <c r="D99" s="43" t="s">
        <v>659</v>
      </c>
      <c r="E99" s="43">
        <v>381017</v>
      </c>
      <c r="F99" s="43">
        <v>381840</v>
      </c>
      <c r="G99" s="43">
        <v>-1463</v>
      </c>
      <c r="H99" s="43">
        <f>IFERROR(VLOOKUP(B99,'Ene - May'!$B$13:$G$256,6,0),0)-D99</f>
        <v>0</v>
      </c>
    </row>
    <row r="100" spans="1:8" ht="15" customHeight="1">
      <c r="A100" s="49"/>
      <c r="B100" s="42" t="s">
        <v>295</v>
      </c>
      <c r="C100" s="42" t="s">
        <v>420</v>
      </c>
      <c r="D100" s="43" t="s">
        <v>659</v>
      </c>
      <c r="E100" s="43">
        <v>381017</v>
      </c>
      <c r="F100" s="43">
        <v>381840</v>
      </c>
      <c r="G100" s="43">
        <v>-1463</v>
      </c>
      <c r="H100" s="43">
        <f>IFERROR(VLOOKUP(B100,'Ene - May'!$B$13:$G$256,6,0),0)-D100</f>
        <v>0</v>
      </c>
    </row>
    <row r="101" spans="1:8" ht="15" customHeight="1">
      <c r="A101" s="49"/>
      <c r="B101" s="42" t="s">
        <v>230</v>
      </c>
      <c r="C101" s="42" t="s">
        <v>226</v>
      </c>
      <c r="D101" s="43">
        <v>-43545</v>
      </c>
      <c r="E101" s="43" t="s">
        <v>413</v>
      </c>
      <c r="F101" s="43">
        <v>3231318</v>
      </c>
      <c r="G101" s="43">
        <v>-3274863</v>
      </c>
      <c r="H101" s="43">
        <f>IFERROR(VLOOKUP(B101,'Ene - May'!$B$13:$G$256,6,0),0)-D101</f>
        <v>0</v>
      </c>
    </row>
    <row r="102" spans="1:8" ht="15.95" customHeight="1">
      <c r="A102" s="49"/>
      <c r="B102" s="42" t="s">
        <v>407</v>
      </c>
      <c r="C102" s="42" t="s">
        <v>515</v>
      </c>
      <c r="D102" s="43">
        <v>-43545</v>
      </c>
      <c r="E102" s="43" t="s">
        <v>413</v>
      </c>
      <c r="F102" s="43">
        <v>3231318</v>
      </c>
      <c r="G102" s="43">
        <v>-3274863</v>
      </c>
      <c r="H102" s="43">
        <f>IFERROR(VLOOKUP(B102,'Ene - May'!$B$13:$G$256,6,0),0)-D102</f>
        <v>0</v>
      </c>
    </row>
    <row r="103" spans="1:8" ht="17.100000000000001" customHeight="1">
      <c r="A103" s="49"/>
      <c r="B103" s="42" t="s">
        <v>562</v>
      </c>
      <c r="C103" s="42" t="s">
        <v>516</v>
      </c>
      <c r="D103" s="43" t="s">
        <v>413</v>
      </c>
      <c r="E103" s="43" t="s">
        <v>413</v>
      </c>
      <c r="F103" s="43" t="s">
        <v>413</v>
      </c>
      <c r="G103" s="43" t="s">
        <v>413</v>
      </c>
      <c r="H103" s="43">
        <f>IFERROR(VLOOKUP(B103,'Ene - May'!$B$13:$G$256,6,0),0)-D103</f>
        <v>0</v>
      </c>
    </row>
    <row r="104" spans="1:8" ht="15" customHeight="1">
      <c r="A104" s="49"/>
      <c r="B104" s="42" t="s">
        <v>297</v>
      </c>
      <c r="C104" s="42" t="s">
        <v>41</v>
      </c>
      <c r="D104" s="43" t="s">
        <v>413</v>
      </c>
      <c r="E104" s="43" t="s">
        <v>413</v>
      </c>
      <c r="F104" s="43" t="s">
        <v>413</v>
      </c>
      <c r="G104" s="43" t="s">
        <v>413</v>
      </c>
      <c r="H104" s="43">
        <f>IFERROR(VLOOKUP(B104,'Ene - May'!$B$13:$G$256,6,0),0)-D104</f>
        <v>0</v>
      </c>
    </row>
    <row r="105" spans="1:8" ht="15" customHeight="1">
      <c r="A105" s="49"/>
      <c r="B105" s="42" t="s">
        <v>171</v>
      </c>
      <c r="C105" s="42" t="s">
        <v>517</v>
      </c>
      <c r="D105" s="43" t="s">
        <v>413</v>
      </c>
      <c r="E105" s="43" t="s">
        <v>413</v>
      </c>
      <c r="F105" s="43" t="s">
        <v>413</v>
      </c>
      <c r="G105" s="43" t="s">
        <v>413</v>
      </c>
      <c r="H105" s="43">
        <f>IFERROR(VLOOKUP(B105,'Ene - May'!$B$13:$G$256,6,0),0)-D105</f>
        <v>0</v>
      </c>
    </row>
    <row r="106" spans="1:8" ht="15.95" customHeight="1">
      <c r="A106" s="49"/>
      <c r="B106" s="42" t="s">
        <v>708</v>
      </c>
      <c r="C106" s="42" t="s">
        <v>518</v>
      </c>
      <c r="D106" s="43">
        <v>-2306564</v>
      </c>
      <c r="E106" s="43">
        <v>276048</v>
      </c>
      <c r="F106" s="43" t="s">
        <v>413</v>
      </c>
      <c r="G106" s="43">
        <v>-2030516</v>
      </c>
      <c r="H106" s="43">
        <f>IFERROR(VLOOKUP(B106,'Ene - May'!$B$13:$G$256,6,0),0)-D106</f>
        <v>0</v>
      </c>
    </row>
    <row r="107" spans="1:8" ht="15.95" customHeight="1">
      <c r="A107" s="49"/>
      <c r="B107" s="42" t="s">
        <v>156</v>
      </c>
      <c r="C107" s="42" t="s">
        <v>42</v>
      </c>
      <c r="D107" s="43">
        <v>-2306564</v>
      </c>
      <c r="E107" s="43">
        <v>276048</v>
      </c>
      <c r="F107" s="43" t="s">
        <v>413</v>
      </c>
      <c r="G107" s="43">
        <v>-2030516</v>
      </c>
      <c r="H107" s="43">
        <f>IFERROR(VLOOKUP(B107,'Ene - May'!$B$13:$G$256,6,0),0)-D107</f>
        <v>0</v>
      </c>
    </row>
    <row r="108" spans="1:8" ht="15.95" customHeight="1">
      <c r="A108" s="49"/>
      <c r="B108" s="42" t="s">
        <v>709</v>
      </c>
      <c r="C108" s="42" t="s">
        <v>519</v>
      </c>
      <c r="D108" s="43">
        <v>-2306564</v>
      </c>
      <c r="E108" s="43">
        <v>276048</v>
      </c>
      <c r="F108" s="43" t="s">
        <v>413</v>
      </c>
      <c r="G108" s="43">
        <v>-2030516</v>
      </c>
      <c r="H108" s="43">
        <f>IFERROR(VLOOKUP(B108,'Ene - May'!$B$13:$G$256,6,0),0)-D108</f>
        <v>0</v>
      </c>
    </row>
    <row r="109" spans="1:8" ht="17.100000000000001" customHeight="1">
      <c r="A109" s="49"/>
      <c r="B109" s="42" t="s">
        <v>167</v>
      </c>
      <c r="C109" s="42" t="s">
        <v>421</v>
      </c>
      <c r="D109" s="43">
        <v>-8608176</v>
      </c>
      <c r="E109" s="43" t="s">
        <v>413</v>
      </c>
      <c r="F109" s="43" t="s">
        <v>413</v>
      </c>
      <c r="G109" s="43">
        <v>-8608176</v>
      </c>
      <c r="H109" s="43">
        <f>IFERROR(VLOOKUP(B109,'Ene - May'!$B$13:$G$256,6,0),0)-D109</f>
        <v>0</v>
      </c>
    </row>
    <row r="110" spans="1:8" ht="15" customHeight="1">
      <c r="A110" s="49"/>
      <c r="B110" s="42" t="s">
        <v>422</v>
      </c>
      <c r="C110" s="42" t="s">
        <v>423</v>
      </c>
      <c r="D110" s="43">
        <v>-8608176</v>
      </c>
      <c r="E110" s="43" t="s">
        <v>413</v>
      </c>
      <c r="F110" s="43" t="s">
        <v>413</v>
      </c>
      <c r="G110" s="43">
        <v>-8608176</v>
      </c>
      <c r="H110" s="43">
        <f>IFERROR(VLOOKUP(B110,'Ene - May'!$B$13:$G$256,6,0),0)-D110</f>
        <v>0</v>
      </c>
    </row>
    <row r="111" spans="1:8" ht="15" customHeight="1">
      <c r="A111" s="49"/>
      <c r="B111" s="42" t="s">
        <v>424</v>
      </c>
      <c r="C111" s="42" t="s">
        <v>425</v>
      </c>
      <c r="D111" s="43">
        <v>-8608176</v>
      </c>
      <c r="E111" s="43" t="s">
        <v>413</v>
      </c>
      <c r="F111" s="43" t="s">
        <v>413</v>
      </c>
      <c r="G111" s="43">
        <v>-8608176</v>
      </c>
      <c r="H111" s="43">
        <f>IFERROR(VLOOKUP(B111,'Ene - May'!$B$13:$G$256,6,0),0)-D111</f>
        <v>0</v>
      </c>
    </row>
    <row r="112" spans="1:8" ht="15.95" customHeight="1">
      <c r="A112" s="49"/>
      <c r="B112" s="42" t="s">
        <v>183</v>
      </c>
      <c r="C112" s="42" t="s">
        <v>43</v>
      </c>
      <c r="D112" s="43">
        <v>-745092</v>
      </c>
      <c r="E112" s="43" t="s">
        <v>413</v>
      </c>
      <c r="F112" s="43" t="s">
        <v>413</v>
      </c>
      <c r="G112" s="43">
        <v>-745092</v>
      </c>
      <c r="H112" s="43">
        <f>IFERROR(VLOOKUP(B112,'Ene - May'!$B$13:$G$256,6,0),0)-D112</f>
        <v>0</v>
      </c>
    </row>
    <row r="113" spans="1:8" ht="15" customHeight="1">
      <c r="A113" s="49"/>
      <c r="B113" s="42" t="s">
        <v>184</v>
      </c>
      <c r="C113" s="42" t="s">
        <v>44</v>
      </c>
      <c r="D113" s="43" t="s">
        <v>413</v>
      </c>
      <c r="E113" s="43" t="s">
        <v>413</v>
      </c>
      <c r="F113" s="43" t="s">
        <v>413</v>
      </c>
      <c r="G113" s="43" t="s">
        <v>413</v>
      </c>
      <c r="H113" s="43">
        <f>IFERROR(VLOOKUP(B113,'Ene - May'!$B$13:$G$256,6,0),0)-D113</f>
        <v>0</v>
      </c>
    </row>
    <row r="114" spans="1:8" ht="15" customHeight="1">
      <c r="A114" s="49"/>
      <c r="B114" s="42" t="s">
        <v>185</v>
      </c>
      <c r="C114" s="42" t="s">
        <v>45</v>
      </c>
      <c r="D114" s="43">
        <v>-7863084</v>
      </c>
      <c r="E114" s="43" t="s">
        <v>413</v>
      </c>
      <c r="F114" s="43" t="s">
        <v>413</v>
      </c>
      <c r="G114" s="43">
        <v>-7863084</v>
      </c>
      <c r="H114" s="43">
        <f>IFERROR(VLOOKUP(B114,'Ene - May'!$B$13:$G$256,6,0),0)-D114</f>
        <v>0</v>
      </c>
    </row>
    <row r="115" spans="1:8" ht="15" customHeight="1">
      <c r="A115" s="49"/>
      <c r="B115" s="42" t="s">
        <v>145</v>
      </c>
      <c r="C115" s="42" t="s">
        <v>3</v>
      </c>
      <c r="D115" s="43">
        <v>-2019919</v>
      </c>
      <c r="E115" s="43" t="s">
        <v>413</v>
      </c>
      <c r="F115" s="43">
        <v>10204192</v>
      </c>
      <c r="G115" s="43">
        <v>-12224111</v>
      </c>
      <c r="H115" s="43">
        <f>IFERROR(VLOOKUP(B115,'Ene - May'!$B$13:$G$256,6,0),0)-D115</f>
        <v>0</v>
      </c>
    </row>
    <row r="116" spans="1:8" ht="15.95" customHeight="1">
      <c r="A116" s="49"/>
      <c r="B116" s="42" t="s">
        <v>298</v>
      </c>
      <c r="C116" s="42" t="s">
        <v>362</v>
      </c>
      <c r="D116" s="43">
        <v>-2002920</v>
      </c>
      <c r="E116" s="43" t="s">
        <v>413</v>
      </c>
      <c r="F116" s="43">
        <v>10160019</v>
      </c>
      <c r="G116" s="43">
        <v>-12162939</v>
      </c>
      <c r="H116" s="43">
        <f>IFERROR(VLOOKUP(B116,'Ene - May'!$B$13:$G$256,6,0),0)-D116</f>
        <v>0</v>
      </c>
    </row>
    <row r="117" spans="1:8" ht="15" customHeight="1">
      <c r="A117" s="49"/>
      <c r="B117" s="42" t="s">
        <v>121</v>
      </c>
      <c r="C117" s="42" t="s">
        <v>47</v>
      </c>
      <c r="D117" s="43">
        <v>-2002920</v>
      </c>
      <c r="E117" s="43" t="s">
        <v>413</v>
      </c>
      <c r="F117" s="43">
        <v>9858822</v>
      </c>
      <c r="G117" s="43">
        <v>-11861742</v>
      </c>
      <c r="H117" s="43">
        <f>IFERROR(VLOOKUP(B117,'Ene - May'!$B$13:$G$256,6,0),0)-D117</f>
        <v>0</v>
      </c>
    </row>
    <row r="118" spans="1:8" ht="15" customHeight="1">
      <c r="A118" s="49"/>
      <c r="B118" s="42" t="s">
        <v>299</v>
      </c>
      <c r="C118" s="42" t="s">
        <v>47</v>
      </c>
      <c r="D118" s="43">
        <v>-2002920</v>
      </c>
      <c r="E118" s="43" t="s">
        <v>413</v>
      </c>
      <c r="F118" s="43">
        <v>9858822</v>
      </c>
      <c r="G118" s="43">
        <v>-11861742</v>
      </c>
      <c r="H118" s="43">
        <f>IFERROR(VLOOKUP(B118,'Ene - May'!$B$13:$G$256,6,0),0)-D118</f>
        <v>0</v>
      </c>
    </row>
    <row r="119" spans="1:8" ht="15" customHeight="1">
      <c r="A119" s="49"/>
      <c r="B119" s="42" t="s">
        <v>300</v>
      </c>
      <c r="C119" s="42" t="s">
        <v>363</v>
      </c>
      <c r="D119" s="43">
        <v>-881311</v>
      </c>
      <c r="E119" s="43" t="s">
        <v>413</v>
      </c>
      <c r="F119" s="43">
        <v>1514618</v>
      </c>
      <c r="G119" s="43">
        <v>-2395929</v>
      </c>
      <c r="H119" s="43">
        <f>IFERROR(VLOOKUP(B119,'Ene - May'!$B$13:$G$256,6,0),0)-D119</f>
        <v>0</v>
      </c>
    </row>
    <row r="120" spans="1:8" ht="15" customHeight="1">
      <c r="A120" s="49"/>
      <c r="B120" s="42" t="s">
        <v>301</v>
      </c>
      <c r="C120" s="42" t="s">
        <v>364</v>
      </c>
      <c r="D120" s="43">
        <v>-1121609</v>
      </c>
      <c r="E120" s="43" t="s">
        <v>413</v>
      </c>
      <c r="F120" s="43">
        <v>8344204</v>
      </c>
      <c r="G120" s="43">
        <v>-9465813</v>
      </c>
      <c r="H120" s="43">
        <f>IFERROR(VLOOKUP(B120,'Ene - May'!$B$13:$G$256,6,0),0)-D120</f>
        <v>0</v>
      </c>
    </row>
    <row r="121" spans="1:8" ht="15.95" customHeight="1">
      <c r="A121" s="49"/>
      <c r="B121" s="42" t="s">
        <v>122</v>
      </c>
      <c r="C121" s="42" t="s">
        <v>768</v>
      </c>
      <c r="D121" s="43" t="s">
        <v>413</v>
      </c>
      <c r="E121" s="43" t="s">
        <v>413</v>
      </c>
      <c r="F121" s="43">
        <v>301197</v>
      </c>
      <c r="G121" s="43">
        <v>-301197</v>
      </c>
      <c r="H121" s="43">
        <f>IFERROR(VLOOKUP(B121,'Ene - May'!$B$13:$G$256,6,0),0)-D121</f>
        <v>0</v>
      </c>
    </row>
    <row r="122" spans="1:8" ht="15" customHeight="1">
      <c r="A122" s="49"/>
      <c r="B122" s="42" t="s">
        <v>744</v>
      </c>
      <c r="C122" s="42" t="s">
        <v>769</v>
      </c>
      <c r="D122" s="43" t="s">
        <v>413</v>
      </c>
      <c r="E122" s="43" t="s">
        <v>413</v>
      </c>
      <c r="F122" s="43">
        <v>301197</v>
      </c>
      <c r="G122" s="43">
        <v>-301197</v>
      </c>
      <c r="H122" s="43">
        <f>IFERROR(VLOOKUP(B122,'Ene - May'!$B$13:$G$256,6,0),0)-D122</f>
        <v>0</v>
      </c>
    </row>
    <row r="123" spans="1:8" ht="15.95" customHeight="1">
      <c r="A123" s="49"/>
      <c r="B123" s="42" t="s">
        <v>745</v>
      </c>
      <c r="C123" s="42" t="s">
        <v>743</v>
      </c>
      <c r="D123" s="43" t="s">
        <v>413</v>
      </c>
      <c r="E123" s="43" t="s">
        <v>413</v>
      </c>
      <c r="F123" s="43">
        <v>276048</v>
      </c>
      <c r="G123" s="43">
        <v>-276048</v>
      </c>
      <c r="H123" s="43">
        <f>IFERROR(VLOOKUP(B123,'Ene - May'!$B$13:$G$256,6,0),0)-D123</f>
        <v>0</v>
      </c>
    </row>
    <row r="124" spans="1:8" ht="15" customHeight="1">
      <c r="A124" s="49"/>
      <c r="B124" s="42" t="s">
        <v>746</v>
      </c>
      <c r="C124" s="42" t="s">
        <v>747</v>
      </c>
      <c r="D124" s="43" t="s">
        <v>413</v>
      </c>
      <c r="E124" s="43" t="s">
        <v>413</v>
      </c>
      <c r="F124" s="43">
        <v>25149</v>
      </c>
      <c r="G124" s="43">
        <v>-25149</v>
      </c>
      <c r="H124" s="43">
        <f>IFERROR(VLOOKUP(B124,'Ene - May'!$B$13:$G$256,6,0),0)-D124</f>
        <v>0</v>
      </c>
    </row>
    <row r="125" spans="1:8" ht="15" customHeight="1">
      <c r="A125" s="49"/>
      <c r="B125" s="42" t="s">
        <v>302</v>
      </c>
      <c r="C125" s="42" t="s">
        <v>48</v>
      </c>
      <c r="D125" s="43">
        <v>-16999</v>
      </c>
      <c r="E125" s="43" t="s">
        <v>413</v>
      </c>
      <c r="F125" s="43">
        <v>44173</v>
      </c>
      <c r="G125" s="43">
        <v>-61172</v>
      </c>
      <c r="H125" s="43">
        <f>IFERROR(VLOOKUP(B125,'Ene - May'!$B$13:$G$256,6,0),0)-D125</f>
        <v>0</v>
      </c>
    </row>
    <row r="126" spans="1:8" ht="15.95" customHeight="1">
      <c r="A126" s="49"/>
      <c r="B126" s="42" t="s">
        <v>128</v>
      </c>
      <c r="C126" s="42" t="s">
        <v>48</v>
      </c>
      <c r="D126" s="43">
        <v>-16987</v>
      </c>
      <c r="E126" s="43" t="s">
        <v>413</v>
      </c>
      <c r="F126" s="43">
        <v>26746</v>
      </c>
      <c r="G126" s="43">
        <v>-43733</v>
      </c>
      <c r="H126" s="43">
        <f>IFERROR(VLOOKUP(B126,'Ene - May'!$B$13:$G$256,6,0),0)-D126</f>
        <v>0</v>
      </c>
    </row>
    <row r="127" spans="1:8" ht="15.95" customHeight="1">
      <c r="A127" s="49"/>
      <c r="B127" s="42" t="s">
        <v>563</v>
      </c>
      <c r="C127" s="42" t="s">
        <v>520</v>
      </c>
      <c r="D127" s="43">
        <v>-13390</v>
      </c>
      <c r="E127" s="43" t="s">
        <v>413</v>
      </c>
      <c r="F127" s="43">
        <v>21418</v>
      </c>
      <c r="G127" s="43">
        <v>-34808</v>
      </c>
      <c r="H127" s="43">
        <f>IFERROR(VLOOKUP(B127,'Ene - May'!$B$13:$G$256,6,0),0)-D127</f>
        <v>0</v>
      </c>
    </row>
    <row r="128" spans="1:8" ht="17.100000000000001" customHeight="1">
      <c r="A128" s="49"/>
      <c r="B128" s="42" t="s">
        <v>564</v>
      </c>
      <c r="C128" s="42" t="s">
        <v>594</v>
      </c>
      <c r="D128" s="43">
        <v>-13390</v>
      </c>
      <c r="E128" s="43" t="s">
        <v>413</v>
      </c>
      <c r="F128" s="43">
        <v>21418</v>
      </c>
      <c r="G128" s="43">
        <v>-34808</v>
      </c>
      <c r="H128" s="43">
        <f>IFERROR(VLOOKUP(B128,'Ene - May'!$B$13:$G$256,6,0),0)-D128</f>
        <v>0</v>
      </c>
    </row>
    <row r="129" spans="1:8" ht="15" customHeight="1">
      <c r="A129" s="49"/>
      <c r="B129" s="42" t="s">
        <v>565</v>
      </c>
      <c r="C129" s="42" t="s">
        <v>521</v>
      </c>
      <c r="D129" s="43">
        <v>-3597</v>
      </c>
      <c r="E129" s="43" t="s">
        <v>413</v>
      </c>
      <c r="F129" s="43">
        <v>5328</v>
      </c>
      <c r="G129" s="43">
        <v>-8925</v>
      </c>
      <c r="H129" s="43">
        <f>IFERROR(VLOOKUP(B129,'Ene - May'!$B$13:$G$256,6,0),0)-D129</f>
        <v>0</v>
      </c>
    </row>
    <row r="130" spans="1:8" ht="15" customHeight="1">
      <c r="A130" s="49"/>
      <c r="B130" s="42" t="s">
        <v>566</v>
      </c>
      <c r="C130" s="42" t="s">
        <v>522</v>
      </c>
      <c r="D130" s="43">
        <v>-3597</v>
      </c>
      <c r="E130" s="43" t="s">
        <v>413</v>
      </c>
      <c r="F130" s="43">
        <v>5328</v>
      </c>
      <c r="G130" s="43">
        <v>-8925</v>
      </c>
      <c r="H130" s="43">
        <f>IFERROR(VLOOKUP(B130,'Ene - May'!$B$13:$G$256,6,0),0)-D130</f>
        <v>0</v>
      </c>
    </row>
    <row r="131" spans="1:8" ht="15.95" customHeight="1">
      <c r="A131" s="49"/>
      <c r="B131" s="42" t="s">
        <v>303</v>
      </c>
      <c r="C131" s="42" t="s">
        <v>49</v>
      </c>
      <c r="D131" s="43" t="s">
        <v>658</v>
      </c>
      <c r="E131" s="43" t="s">
        <v>413</v>
      </c>
      <c r="F131" s="43">
        <v>17427</v>
      </c>
      <c r="G131" s="43">
        <v>-17439</v>
      </c>
      <c r="H131" s="43">
        <f>IFERROR(VLOOKUP(B131,'Ene - May'!$B$13:$G$256,6,0),0)-D131</f>
        <v>0</v>
      </c>
    </row>
    <row r="132" spans="1:8" ht="15" customHeight="1">
      <c r="A132" s="49"/>
      <c r="B132" s="42" t="s">
        <v>129</v>
      </c>
      <c r="C132" s="42" t="s">
        <v>50</v>
      </c>
      <c r="D132" s="43" t="s">
        <v>413</v>
      </c>
      <c r="E132" s="43" t="s">
        <v>413</v>
      </c>
      <c r="F132" s="43">
        <v>17427</v>
      </c>
      <c r="G132" s="43">
        <v>-17427</v>
      </c>
      <c r="H132" s="43">
        <f>IFERROR(VLOOKUP(B132,'Ene - May'!$B$13:$G$256,6,0),0)-D132</f>
        <v>0</v>
      </c>
    </row>
    <row r="133" spans="1:8" ht="15" customHeight="1">
      <c r="A133" s="49"/>
      <c r="B133" s="42" t="s">
        <v>710</v>
      </c>
      <c r="C133" s="42" t="s">
        <v>770</v>
      </c>
      <c r="D133" s="43" t="s">
        <v>658</v>
      </c>
      <c r="E133" s="43" t="s">
        <v>413</v>
      </c>
      <c r="F133" s="43" t="s">
        <v>413</v>
      </c>
      <c r="G133" s="43" t="s">
        <v>658</v>
      </c>
      <c r="H133" s="43">
        <f>IFERROR(VLOOKUP(B133,'Ene - May'!$B$13:$G$256,6,0),0)-D133</f>
        <v>0</v>
      </c>
    </row>
    <row r="134" spans="1:8" ht="15" customHeight="1">
      <c r="A134" s="49"/>
      <c r="B134" s="42" t="s">
        <v>146</v>
      </c>
      <c r="C134" s="42" t="s">
        <v>5</v>
      </c>
      <c r="D134" s="43">
        <v>3865265</v>
      </c>
      <c r="E134" s="43">
        <v>4986324</v>
      </c>
      <c r="F134" s="43">
        <v>2297</v>
      </c>
      <c r="G134" s="43">
        <v>8849292</v>
      </c>
      <c r="H134" s="43">
        <f>IFERROR(VLOOKUP(B134,'Ene - May'!$B$13:$G$256,6,0),0)-D134</f>
        <v>0</v>
      </c>
    </row>
    <row r="135" spans="1:8" ht="15" customHeight="1">
      <c r="A135" s="49"/>
      <c r="B135" s="42" t="s">
        <v>305</v>
      </c>
      <c r="C135" s="42" t="s">
        <v>51</v>
      </c>
      <c r="D135" s="43">
        <v>1143802</v>
      </c>
      <c r="E135" s="43">
        <v>2116485</v>
      </c>
      <c r="F135" s="43">
        <v>1944</v>
      </c>
      <c r="G135" s="43">
        <v>3258343</v>
      </c>
      <c r="H135" s="43">
        <f>IFERROR(VLOOKUP(B135,'Ene - May'!$B$13:$G$256,6,0),0)-D135</f>
        <v>0</v>
      </c>
    </row>
    <row r="136" spans="1:8" ht="15" customHeight="1">
      <c r="A136" s="49"/>
      <c r="B136" s="42" t="s">
        <v>134</v>
      </c>
      <c r="C136" s="42" t="s">
        <v>52</v>
      </c>
      <c r="D136" s="43">
        <v>897972</v>
      </c>
      <c r="E136" s="43">
        <v>1539202</v>
      </c>
      <c r="F136" s="43" t="s">
        <v>652</v>
      </c>
      <c r="G136" s="43">
        <v>2436787</v>
      </c>
      <c r="H136" s="43">
        <f>IFERROR(VLOOKUP(B136,'Ene - May'!$B$13:$G$256,6,0),0)-D136</f>
        <v>0</v>
      </c>
    </row>
    <row r="137" spans="1:8" ht="15" customHeight="1">
      <c r="A137" s="49"/>
      <c r="B137" s="42" t="s">
        <v>306</v>
      </c>
      <c r="C137" s="42" t="s">
        <v>53</v>
      </c>
      <c r="D137" s="43">
        <v>203188</v>
      </c>
      <c r="E137" s="43">
        <v>333509</v>
      </c>
      <c r="F137" s="43" t="s">
        <v>413</v>
      </c>
      <c r="G137" s="43">
        <v>536698</v>
      </c>
      <c r="H137" s="43">
        <f>IFERROR(VLOOKUP(B137,'Ene - May'!$B$13:$G$256,6,0),0)-D137</f>
        <v>0</v>
      </c>
    </row>
    <row r="138" spans="1:8" ht="15" customHeight="1">
      <c r="A138" s="49"/>
      <c r="B138" s="42" t="s">
        <v>307</v>
      </c>
      <c r="C138" s="42" t="s">
        <v>54</v>
      </c>
      <c r="D138" s="43">
        <v>169559</v>
      </c>
      <c r="E138" s="43">
        <v>257781</v>
      </c>
      <c r="F138" s="43" t="s">
        <v>413</v>
      </c>
      <c r="G138" s="43">
        <v>427341</v>
      </c>
      <c r="H138" s="43">
        <f>IFERROR(VLOOKUP(B138,'Ene - May'!$B$13:$G$256,6,0),0)-D138</f>
        <v>0</v>
      </c>
    </row>
    <row r="139" spans="1:8" ht="15" customHeight="1">
      <c r="A139" s="49"/>
      <c r="B139" s="42" t="s">
        <v>308</v>
      </c>
      <c r="C139" s="42" t="s">
        <v>55</v>
      </c>
      <c r="D139" s="43">
        <v>38765</v>
      </c>
      <c r="E139" s="43">
        <v>53030</v>
      </c>
      <c r="F139" s="43" t="s">
        <v>413</v>
      </c>
      <c r="G139" s="43">
        <v>91795</v>
      </c>
      <c r="H139" s="43">
        <f>IFERROR(VLOOKUP(B139,'Ene - May'!$B$13:$G$256,6,0),0)-D139</f>
        <v>0</v>
      </c>
    </row>
    <row r="140" spans="1:8" ht="15" customHeight="1">
      <c r="A140" s="49"/>
      <c r="B140" s="42" t="s">
        <v>426</v>
      </c>
      <c r="C140" s="42" t="s">
        <v>427</v>
      </c>
      <c r="D140" s="43">
        <v>2070</v>
      </c>
      <c r="E140" s="43">
        <v>3188</v>
      </c>
      <c r="F140" s="43" t="s">
        <v>413</v>
      </c>
      <c r="G140" s="43">
        <v>5258</v>
      </c>
      <c r="H140" s="43">
        <f>IFERROR(VLOOKUP(B140,'Ene - May'!$B$13:$G$256,6,0),0)-D140</f>
        <v>0</v>
      </c>
    </row>
    <row r="141" spans="1:8" ht="15" customHeight="1">
      <c r="A141" s="49"/>
      <c r="B141" s="42" t="s">
        <v>309</v>
      </c>
      <c r="C141" s="42" t="s">
        <v>56</v>
      </c>
      <c r="D141" s="43">
        <v>22420</v>
      </c>
      <c r="E141" s="43">
        <v>31656</v>
      </c>
      <c r="F141" s="43" t="s">
        <v>413</v>
      </c>
      <c r="G141" s="43">
        <v>54076</v>
      </c>
      <c r="H141" s="43">
        <f>IFERROR(VLOOKUP(B141,'Ene - May'!$B$13:$G$256,6,0),0)-D141</f>
        <v>0</v>
      </c>
    </row>
    <row r="142" spans="1:8" ht="15" customHeight="1">
      <c r="A142" s="49"/>
      <c r="B142" s="42" t="s">
        <v>711</v>
      </c>
      <c r="C142" s="42" t="s">
        <v>524</v>
      </c>
      <c r="D142" s="43">
        <v>2589</v>
      </c>
      <c r="E142" s="43">
        <v>3973</v>
      </c>
      <c r="F142" s="43" t="s">
        <v>413</v>
      </c>
      <c r="G142" s="43">
        <v>6562</v>
      </c>
      <c r="H142" s="43">
        <f>IFERROR(VLOOKUP(B142,'Ene - May'!$B$13:$G$256,6,0),0)-D142</f>
        <v>0</v>
      </c>
    </row>
    <row r="143" spans="1:8" ht="15" customHeight="1">
      <c r="A143" s="49"/>
      <c r="B143" s="42" t="s">
        <v>428</v>
      </c>
      <c r="C143" s="42" t="s">
        <v>429</v>
      </c>
      <c r="D143" s="43">
        <v>9661</v>
      </c>
      <c r="E143" s="43">
        <v>16568</v>
      </c>
      <c r="F143" s="43" t="s">
        <v>413</v>
      </c>
      <c r="G143" s="43">
        <v>26229</v>
      </c>
      <c r="H143" s="43">
        <f>IFERROR(VLOOKUP(B143,'Ene - May'!$B$13:$G$256,6,0),0)-D143</f>
        <v>0</v>
      </c>
    </row>
    <row r="144" spans="1:8" ht="15" customHeight="1">
      <c r="A144" s="49"/>
      <c r="B144" s="42" t="s">
        <v>430</v>
      </c>
      <c r="C144" s="42" t="s">
        <v>431</v>
      </c>
      <c r="D144" s="43">
        <v>1000</v>
      </c>
      <c r="E144" s="43">
        <v>1271</v>
      </c>
      <c r="F144" s="43" t="s">
        <v>413</v>
      </c>
      <c r="G144" s="43">
        <v>2271</v>
      </c>
      <c r="H144" s="43">
        <f>IFERROR(VLOOKUP(B144,'Ene - May'!$B$13:$G$256,6,0),0)-D144</f>
        <v>0</v>
      </c>
    </row>
    <row r="145" spans="1:8" ht="15" customHeight="1">
      <c r="A145" s="49"/>
      <c r="B145" s="42" t="s">
        <v>432</v>
      </c>
      <c r="C145" s="42" t="s">
        <v>433</v>
      </c>
      <c r="D145" s="43">
        <v>4252</v>
      </c>
      <c r="E145" s="43">
        <v>6701</v>
      </c>
      <c r="F145" s="43" t="s">
        <v>413</v>
      </c>
      <c r="G145" s="43">
        <v>10953</v>
      </c>
      <c r="H145" s="43">
        <f>IFERROR(VLOOKUP(B145,'Ene - May'!$B$13:$G$256,6,0),0)-D145</f>
        <v>0</v>
      </c>
    </row>
    <row r="146" spans="1:8" ht="15" customHeight="1">
      <c r="A146" s="49"/>
      <c r="B146" s="42" t="s">
        <v>434</v>
      </c>
      <c r="C146" s="42" t="s">
        <v>435</v>
      </c>
      <c r="D146" s="43">
        <v>23647</v>
      </c>
      <c r="E146" s="43">
        <v>36827</v>
      </c>
      <c r="F146" s="43" t="s">
        <v>413</v>
      </c>
      <c r="G146" s="43">
        <v>60474</v>
      </c>
      <c r="H146" s="43">
        <f>IFERROR(VLOOKUP(B146,'Ene - May'!$B$13:$G$256,6,0),0)-D146</f>
        <v>0</v>
      </c>
    </row>
    <row r="147" spans="1:8" ht="15" customHeight="1">
      <c r="A147" s="49"/>
      <c r="B147" s="42" t="s">
        <v>310</v>
      </c>
      <c r="C147" s="42" t="s">
        <v>57</v>
      </c>
      <c r="D147" s="43">
        <v>49615</v>
      </c>
      <c r="E147" s="43">
        <v>65235</v>
      </c>
      <c r="F147" s="43" t="s">
        <v>413</v>
      </c>
      <c r="G147" s="43">
        <v>114850</v>
      </c>
      <c r="H147" s="43">
        <f>IFERROR(VLOOKUP(B147,'Ene - May'!$B$13:$G$256,6,0),0)-D147</f>
        <v>0</v>
      </c>
    </row>
    <row r="148" spans="1:8" ht="15" customHeight="1">
      <c r="A148" s="49"/>
      <c r="B148" s="42" t="s">
        <v>436</v>
      </c>
      <c r="C148" s="42" t="s">
        <v>437</v>
      </c>
      <c r="D148" s="43">
        <v>11231</v>
      </c>
      <c r="E148" s="43">
        <v>33334</v>
      </c>
      <c r="F148" s="43" t="s">
        <v>413</v>
      </c>
      <c r="G148" s="43">
        <v>44564</v>
      </c>
      <c r="H148" s="43">
        <f>IFERROR(VLOOKUP(B148,'Ene - May'!$B$13:$G$256,6,0),0)-D148</f>
        <v>0</v>
      </c>
    </row>
    <row r="149" spans="1:8" ht="15" customHeight="1">
      <c r="A149" s="49"/>
      <c r="B149" s="42" t="s">
        <v>712</v>
      </c>
      <c r="C149" s="42" t="s">
        <v>526</v>
      </c>
      <c r="D149" s="43" t="s">
        <v>657</v>
      </c>
      <c r="E149" s="43">
        <v>1083</v>
      </c>
      <c r="F149" s="43" t="s">
        <v>413</v>
      </c>
      <c r="G149" s="43">
        <v>1444</v>
      </c>
      <c r="H149" s="43">
        <f>IFERROR(VLOOKUP(B149,'Ene - May'!$B$13:$G$256,6,0),0)-D149</f>
        <v>0</v>
      </c>
    </row>
    <row r="150" spans="1:8" ht="15" customHeight="1">
      <c r="A150" s="49"/>
      <c r="B150" s="42" t="s">
        <v>567</v>
      </c>
      <c r="C150" s="42" t="s">
        <v>527</v>
      </c>
      <c r="D150" s="43">
        <v>3948</v>
      </c>
      <c r="E150" s="43">
        <v>4916</v>
      </c>
      <c r="F150" s="43" t="s">
        <v>413</v>
      </c>
      <c r="G150" s="43">
        <v>8864</v>
      </c>
      <c r="H150" s="43">
        <f>IFERROR(VLOOKUP(B150,'Ene - May'!$B$13:$G$256,6,0),0)-D150</f>
        <v>0</v>
      </c>
    </row>
    <row r="151" spans="1:8" ht="15" customHeight="1">
      <c r="A151" s="49"/>
      <c r="B151" s="42" t="s">
        <v>311</v>
      </c>
      <c r="C151" s="42" t="s">
        <v>58</v>
      </c>
      <c r="D151" s="43">
        <v>6123</v>
      </c>
      <c r="E151" s="43">
        <v>8677</v>
      </c>
      <c r="F151" s="43" t="s">
        <v>413</v>
      </c>
      <c r="G151" s="43">
        <v>14801</v>
      </c>
      <c r="H151" s="43">
        <f>IFERROR(VLOOKUP(B151,'Ene - May'!$B$13:$G$256,6,0),0)-D151</f>
        <v>0</v>
      </c>
    </row>
    <row r="152" spans="1:8" ht="15" customHeight="1">
      <c r="A152" s="49"/>
      <c r="B152" s="42" t="s">
        <v>568</v>
      </c>
      <c r="C152" s="42" t="s">
        <v>528</v>
      </c>
      <c r="D152" s="43" t="s">
        <v>656</v>
      </c>
      <c r="E152" s="43">
        <v>1109</v>
      </c>
      <c r="F152" s="43" t="s">
        <v>413</v>
      </c>
      <c r="G152" s="43">
        <v>1840</v>
      </c>
      <c r="H152" s="43">
        <f>IFERROR(VLOOKUP(B152,'Ene - May'!$B$13:$G$256,6,0),0)-D152</f>
        <v>0</v>
      </c>
    </row>
    <row r="153" spans="1:8" ht="15" customHeight="1">
      <c r="A153" s="49"/>
      <c r="B153" s="42" t="s">
        <v>338</v>
      </c>
      <c r="C153" s="42" t="s">
        <v>59</v>
      </c>
      <c r="D153" s="43">
        <v>5392</v>
      </c>
      <c r="E153" s="43">
        <v>7568</v>
      </c>
      <c r="F153" s="43" t="s">
        <v>413</v>
      </c>
      <c r="G153" s="43">
        <v>12961</v>
      </c>
      <c r="H153" s="43">
        <f>IFERROR(VLOOKUP(B153,'Ene - May'!$B$13:$G$256,6,0),0)-D153</f>
        <v>0</v>
      </c>
    </row>
    <row r="154" spans="1:8" ht="15" customHeight="1">
      <c r="A154" s="49"/>
      <c r="B154" s="42" t="s">
        <v>312</v>
      </c>
      <c r="C154" s="42" t="s">
        <v>60</v>
      </c>
      <c r="D154" s="43">
        <v>10705</v>
      </c>
      <c r="E154" s="43">
        <v>31995</v>
      </c>
      <c r="F154" s="43" t="s">
        <v>413</v>
      </c>
      <c r="G154" s="43">
        <v>42700</v>
      </c>
      <c r="H154" s="43">
        <f>IFERROR(VLOOKUP(B154,'Ene - May'!$B$13:$G$256,6,0),0)-D154</f>
        <v>0</v>
      </c>
    </row>
    <row r="155" spans="1:8" ht="15" customHeight="1">
      <c r="A155" s="49"/>
      <c r="B155" s="42" t="s">
        <v>438</v>
      </c>
      <c r="C155" s="42" t="s">
        <v>439</v>
      </c>
      <c r="D155" s="43">
        <v>5690</v>
      </c>
      <c r="E155" s="43">
        <v>16889</v>
      </c>
      <c r="F155" s="43" t="s">
        <v>413</v>
      </c>
      <c r="G155" s="43">
        <v>22579</v>
      </c>
      <c r="H155" s="43">
        <f>IFERROR(VLOOKUP(B155,'Ene - May'!$B$13:$G$256,6,0),0)-D155</f>
        <v>0</v>
      </c>
    </row>
    <row r="156" spans="1:8" ht="15" customHeight="1">
      <c r="A156" s="49"/>
      <c r="B156" s="42" t="s">
        <v>569</v>
      </c>
      <c r="C156" s="42" t="s">
        <v>61</v>
      </c>
      <c r="D156" s="43">
        <v>5015</v>
      </c>
      <c r="E156" s="43">
        <v>15106</v>
      </c>
      <c r="F156" s="43" t="s">
        <v>413</v>
      </c>
      <c r="G156" s="43">
        <v>20121</v>
      </c>
      <c r="H156" s="43">
        <f>IFERROR(VLOOKUP(B156,'Ene - May'!$B$13:$G$256,6,0),0)-D156</f>
        <v>0</v>
      </c>
    </row>
    <row r="157" spans="1:8" ht="15" customHeight="1">
      <c r="A157" s="49"/>
      <c r="B157" s="42" t="s">
        <v>313</v>
      </c>
      <c r="C157" s="42" t="s">
        <v>62</v>
      </c>
      <c r="D157" s="43">
        <v>15977</v>
      </c>
      <c r="E157" s="43">
        <v>31302</v>
      </c>
      <c r="F157" s="43" t="s">
        <v>413</v>
      </c>
      <c r="G157" s="43">
        <v>47280</v>
      </c>
      <c r="H157" s="43">
        <f>IFERROR(VLOOKUP(B157,'Ene - May'!$B$13:$G$256,6,0),0)-D157</f>
        <v>0</v>
      </c>
    </row>
    <row r="158" spans="1:8" ht="15" customHeight="1">
      <c r="A158" s="49"/>
      <c r="B158" s="42" t="s">
        <v>440</v>
      </c>
      <c r="C158" s="42" t="s">
        <v>441</v>
      </c>
      <c r="D158" s="43">
        <v>15056</v>
      </c>
      <c r="E158" s="43">
        <v>22788</v>
      </c>
      <c r="F158" s="43" t="s">
        <v>413</v>
      </c>
      <c r="G158" s="43">
        <v>37844</v>
      </c>
      <c r="H158" s="43">
        <f>IFERROR(VLOOKUP(B158,'Ene - May'!$B$13:$G$256,6,0),0)-D158</f>
        <v>0</v>
      </c>
    </row>
    <row r="159" spans="1:8" ht="15" customHeight="1">
      <c r="A159" s="49"/>
      <c r="B159" s="42" t="s">
        <v>570</v>
      </c>
      <c r="C159" s="42" t="s">
        <v>531</v>
      </c>
      <c r="D159" s="43" t="s">
        <v>413</v>
      </c>
      <c r="E159" s="43" t="s">
        <v>283</v>
      </c>
      <c r="F159" s="43" t="s">
        <v>413</v>
      </c>
      <c r="G159" s="43" t="s">
        <v>283</v>
      </c>
      <c r="H159" s="43">
        <f>IFERROR(VLOOKUP(B159,'Ene - May'!$B$13:$G$256,6,0),0)-D159</f>
        <v>0</v>
      </c>
    </row>
    <row r="160" spans="1:8" ht="15" customHeight="1">
      <c r="A160" s="49"/>
      <c r="B160" s="42" t="s">
        <v>314</v>
      </c>
      <c r="C160" s="42" t="s">
        <v>63</v>
      </c>
      <c r="D160" s="43" t="s">
        <v>655</v>
      </c>
      <c r="E160" s="43">
        <v>5932</v>
      </c>
      <c r="F160" s="43" t="s">
        <v>413</v>
      </c>
      <c r="G160" s="43">
        <v>6854</v>
      </c>
      <c r="H160" s="43">
        <f>IFERROR(VLOOKUP(B160,'Ene - May'!$B$13:$G$256,6,0),0)-D160</f>
        <v>0</v>
      </c>
    </row>
    <row r="161" spans="1:8" ht="15.95" customHeight="1">
      <c r="A161" s="49"/>
      <c r="B161" s="42" t="s">
        <v>315</v>
      </c>
      <c r="C161" s="42" t="s">
        <v>64</v>
      </c>
      <c r="D161" s="43" t="s">
        <v>413</v>
      </c>
      <c r="E161" s="43">
        <v>2462</v>
      </c>
      <c r="F161" s="43" t="s">
        <v>413</v>
      </c>
      <c r="G161" s="43">
        <v>2462</v>
      </c>
      <c r="H161" s="43">
        <f>IFERROR(VLOOKUP(B161,'Ene - May'!$B$13:$G$256,6,0),0)-D161</f>
        <v>0</v>
      </c>
    </row>
    <row r="162" spans="1:8" ht="15" customHeight="1">
      <c r="A162" s="49"/>
      <c r="B162" s="42" t="s">
        <v>442</v>
      </c>
      <c r="C162" s="42" t="s">
        <v>443</v>
      </c>
      <c r="D162" s="43" t="s">
        <v>654</v>
      </c>
      <c r="E162" s="43">
        <v>3754</v>
      </c>
      <c r="F162" s="43" t="s">
        <v>413</v>
      </c>
      <c r="G162" s="43">
        <v>4576</v>
      </c>
      <c r="H162" s="43">
        <f>IFERROR(VLOOKUP(B162,'Ene - May'!$B$13:$G$256,6,0),0)-D162</f>
        <v>0</v>
      </c>
    </row>
    <row r="163" spans="1:8" ht="15" customHeight="1">
      <c r="A163" s="49"/>
      <c r="B163" s="42" t="s">
        <v>444</v>
      </c>
      <c r="C163" s="42" t="s">
        <v>445</v>
      </c>
      <c r="D163" s="43" t="s">
        <v>413</v>
      </c>
      <c r="E163" s="43">
        <v>1231</v>
      </c>
      <c r="F163" s="43" t="s">
        <v>413</v>
      </c>
      <c r="G163" s="43">
        <v>1231</v>
      </c>
      <c r="H163" s="43">
        <f>IFERROR(VLOOKUP(B163,'Ene - May'!$B$13:$G$256,6,0),0)-D163</f>
        <v>0</v>
      </c>
    </row>
    <row r="164" spans="1:8" ht="15" customHeight="1">
      <c r="A164" s="49"/>
      <c r="B164" s="42" t="s">
        <v>446</v>
      </c>
      <c r="C164" s="42" t="s">
        <v>447</v>
      </c>
      <c r="D164" s="43" t="s">
        <v>603</v>
      </c>
      <c r="E164" s="43" t="s">
        <v>603</v>
      </c>
      <c r="F164" s="43" t="s">
        <v>413</v>
      </c>
      <c r="G164" s="43">
        <v>1160</v>
      </c>
      <c r="H164" s="43">
        <f>IFERROR(VLOOKUP(B164,'Ene - May'!$B$13:$G$256,6,0),0)-D164</f>
        <v>0</v>
      </c>
    </row>
    <row r="165" spans="1:8" ht="15" customHeight="1">
      <c r="A165" s="49"/>
      <c r="B165" s="42" t="s">
        <v>448</v>
      </c>
      <c r="C165" s="42" t="s">
        <v>449</v>
      </c>
      <c r="D165" s="43" t="s">
        <v>413</v>
      </c>
      <c r="E165" s="43">
        <v>1943</v>
      </c>
      <c r="F165" s="43" t="s">
        <v>413</v>
      </c>
      <c r="G165" s="43">
        <v>1943</v>
      </c>
      <c r="H165" s="43">
        <f>IFERROR(VLOOKUP(B165,'Ene - May'!$B$13:$G$256,6,0),0)-D165</f>
        <v>0</v>
      </c>
    </row>
    <row r="166" spans="1:8" ht="15" customHeight="1">
      <c r="A166" s="49"/>
      <c r="B166" s="42" t="s">
        <v>571</v>
      </c>
      <c r="C166" s="42" t="s">
        <v>529</v>
      </c>
      <c r="D166" s="43" t="s">
        <v>653</v>
      </c>
      <c r="E166" s="43" t="s">
        <v>413</v>
      </c>
      <c r="F166" s="43" t="s">
        <v>413</v>
      </c>
      <c r="G166" s="43" t="s">
        <v>653</v>
      </c>
      <c r="H166" s="43">
        <f>IFERROR(VLOOKUP(B166,'Ene - May'!$B$13:$G$256,6,0),0)-D166</f>
        <v>0</v>
      </c>
    </row>
    <row r="167" spans="1:8" ht="15" customHeight="1">
      <c r="A167" s="49"/>
      <c r="B167" s="42" t="s">
        <v>316</v>
      </c>
      <c r="C167" s="42" t="s">
        <v>254</v>
      </c>
      <c r="D167" s="43">
        <v>573978</v>
      </c>
      <c r="E167" s="43">
        <v>1012254</v>
      </c>
      <c r="F167" s="43" t="s">
        <v>652</v>
      </c>
      <c r="G167" s="43">
        <v>1585845</v>
      </c>
      <c r="H167" s="43">
        <f>IFERROR(VLOOKUP(B167,'Ene - May'!$B$13:$G$256,6,0),0)-D167</f>
        <v>0</v>
      </c>
    </row>
    <row r="168" spans="1:8" ht="15" customHeight="1">
      <c r="A168" s="49"/>
      <c r="B168" s="42" t="s">
        <v>450</v>
      </c>
      <c r="C168" s="42" t="s">
        <v>54</v>
      </c>
      <c r="D168" s="43">
        <v>512145</v>
      </c>
      <c r="E168" s="43">
        <v>836046</v>
      </c>
      <c r="F168" s="43" t="s">
        <v>413</v>
      </c>
      <c r="G168" s="43">
        <v>1348191</v>
      </c>
      <c r="H168" s="43">
        <f>IFERROR(VLOOKUP(B168,'Ene - May'!$B$13:$G$256,6,0),0)-D168</f>
        <v>0</v>
      </c>
    </row>
    <row r="169" spans="1:8" ht="15" customHeight="1">
      <c r="A169" s="49"/>
      <c r="B169" s="42" t="s">
        <v>451</v>
      </c>
      <c r="C169" s="42" t="s">
        <v>55</v>
      </c>
      <c r="D169" s="43">
        <v>122549</v>
      </c>
      <c r="E169" s="43">
        <v>180399</v>
      </c>
      <c r="F169" s="43" t="s">
        <v>413</v>
      </c>
      <c r="G169" s="43">
        <v>302948</v>
      </c>
      <c r="H169" s="43">
        <f>IFERROR(VLOOKUP(B169,'Ene - May'!$B$13:$G$256,6,0),0)-D169</f>
        <v>0</v>
      </c>
    </row>
    <row r="170" spans="1:8" ht="15" customHeight="1">
      <c r="A170" s="49"/>
      <c r="B170" s="42" t="s">
        <v>452</v>
      </c>
      <c r="C170" s="42" t="s">
        <v>427</v>
      </c>
      <c r="D170" s="43">
        <v>1892</v>
      </c>
      <c r="E170" s="43">
        <v>2972</v>
      </c>
      <c r="F170" s="43" t="s">
        <v>413</v>
      </c>
      <c r="G170" s="43">
        <v>4865</v>
      </c>
      <c r="H170" s="43">
        <f>IFERROR(VLOOKUP(B170,'Ene - May'!$B$13:$G$256,6,0),0)-D170</f>
        <v>0</v>
      </c>
    </row>
    <row r="171" spans="1:8" ht="15" customHeight="1">
      <c r="A171" s="49"/>
      <c r="B171" s="42" t="s">
        <v>453</v>
      </c>
      <c r="C171" s="42" t="s">
        <v>56</v>
      </c>
      <c r="D171" s="43">
        <v>71059</v>
      </c>
      <c r="E171" s="43">
        <v>108381</v>
      </c>
      <c r="F171" s="43" t="s">
        <v>413</v>
      </c>
      <c r="G171" s="43">
        <v>179440</v>
      </c>
      <c r="H171" s="43">
        <f>IFERROR(VLOOKUP(B171,'Ene - May'!$B$13:$G$256,6,0),0)-D171</f>
        <v>0</v>
      </c>
    </row>
    <row r="172" spans="1:8" ht="15" customHeight="1">
      <c r="A172" s="49"/>
      <c r="B172" s="42" t="s">
        <v>713</v>
      </c>
      <c r="C172" s="42" t="s">
        <v>524</v>
      </c>
      <c r="D172" s="43">
        <v>15966</v>
      </c>
      <c r="E172" s="43">
        <v>23659</v>
      </c>
      <c r="F172" s="43" t="s">
        <v>413</v>
      </c>
      <c r="G172" s="43">
        <v>39626</v>
      </c>
      <c r="H172" s="43">
        <f>IFERROR(VLOOKUP(B172,'Ene - May'!$B$13:$G$256,6,0),0)-D172</f>
        <v>0</v>
      </c>
    </row>
    <row r="173" spans="1:8" ht="15" customHeight="1">
      <c r="A173" s="49"/>
      <c r="B173" s="42" t="s">
        <v>572</v>
      </c>
      <c r="C173" s="42" t="s">
        <v>595</v>
      </c>
      <c r="D173" s="43">
        <v>1567</v>
      </c>
      <c r="E173" s="43">
        <v>3948</v>
      </c>
      <c r="F173" s="43" t="s">
        <v>413</v>
      </c>
      <c r="G173" s="43">
        <v>5515</v>
      </c>
      <c r="H173" s="43">
        <f>IFERROR(VLOOKUP(B173,'Ene - May'!$B$13:$G$256,6,0),0)-D173</f>
        <v>0</v>
      </c>
    </row>
    <row r="174" spans="1:8" ht="15" customHeight="1">
      <c r="A174" s="49"/>
      <c r="B174" s="42" t="s">
        <v>573</v>
      </c>
      <c r="C174" s="42" t="s">
        <v>435</v>
      </c>
      <c r="D174" s="43">
        <v>80897</v>
      </c>
      <c r="E174" s="43">
        <v>131049</v>
      </c>
      <c r="F174" s="43" t="s">
        <v>413</v>
      </c>
      <c r="G174" s="43">
        <v>211946</v>
      </c>
      <c r="H174" s="43">
        <f>IFERROR(VLOOKUP(B174,'Ene - May'!$B$13:$G$256,6,0),0)-D174</f>
        <v>0</v>
      </c>
    </row>
    <row r="175" spans="1:8" ht="15" customHeight="1">
      <c r="A175" s="49"/>
      <c r="B175" s="42" t="s">
        <v>454</v>
      </c>
      <c r="C175" s="42" t="s">
        <v>57</v>
      </c>
      <c r="D175" s="43">
        <v>182020</v>
      </c>
      <c r="E175" s="43">
        <v>270542</v>
      </c>
      <c r="F175" s="43" t="s">
        <v>413</v>
      </c>
      <c r="G175" s="43">
        <v>452562</v>
      </c>
      <c r="H175" s="43">
        <f>IFERROR(VLOOKUP(B175,'Ene - May'!$B$13:$G$256,6,0),0)-D175</f>
        <v>0</v>
      </c>
    </row>
    <row r="176" spans="1:8" ht="15" customHeight="1">
      <c r="A176" s="49"/>
      <c r="B176" s="42" t="s">
        <v>455</v>
      </c>
      <c r="C176" s="42" t="s">
        <v>437</v>
      </c>
      <c r="D176" s="43">
        <v>33550</v>
      </c>
      <c r="E176" s="43">
        <v>107120</v>
      </c>
      <c r="F176" s="43" t="s">
        <v>413</v>
      </c>
      <c r="G176" s="43">
        <v>140671</v>
      </c>
      <c r="H176" s="43">
        <f>IFERROR(VLOOKUP(B176,'Ene - May'!$B$13:$G$256,6,0),0)-D176</f>
        <v>0</v>
      </c>
    </row>
    <row r="177" spans="1:8" ht="15" customHeight="1">
      <c r="A177" s="49"/>
      <c r="B177" s="42" t="s">
        <v>714</v>
      </c>
      <c r="C177" s="42" t="s">
        <v>526</v>
      </c>
      <c r="D177" s="43">
        <v>2643</v>
      </c>
      <c r="E177" s="43">
        <v>7976</v>
      </c>
      <c r="F177" s="43" t="s">
        <v>413</v>
      </c>
      <c r="G177" s="43">
        <v>10618</v>
      </c>
      <c r="H177" s="43">
        <f>IFERROR(VLOOKUP(B177,'Ene - May'!$B$13:$G$256,6,0),0)-D177</f>
        <v>0</v>
      </c>
    </row>
    <row r="178" spans="1:8" ht="15" customHeight="1">
      <c r="A178" s="49"/>
      <c r="B178" s="42" t="s">
        <v>456</v>
      </c>
      <c r="C178" s="42" t="s">
        <v>58</v>
      </c>
      <c r="D178" s="43">
        <v>20776</v>
      </c>
      <c r="E178" s="43">
        <v>31286</v>
      </c>
      <c r="F178" s="43" t="s">
        <v>413</v>
      </c>
      <c r="G178" s="43">
        <v>52062</v>
      </c>
      <c r="H178" s="43">
        <f>IFERROR(VLOOKUP(B178,'Ene - May'!$B$13:$G$256,6,0),0)-D178</f>
        <v>0</v>
      </c>
    </row>
    <row r="179" spans="1:8" ht="15" customHeight="1">
      <c r="A179" s="49"/>
      <c r="B179" s="42" t="s">
        <v>574</v>
      </c>
      <c r="C179" s="42" t="s">
        <v>528</v>
      </c>
      <c r="D179" s="43">
        <v>1823</v>
      </c>
      <c r="E179" s="43">
        <v>2814</v>
      </c>
      <c r="F179" s="43" t="s">
        <v>413</v>
      </c>
      <c r="G179" s="43">
        <v>4637</v>
      </c>
      <c r="H179" s="43">
        <f>IFERROR(VLOOKUP(B179,'Ene - May'!$B$13:$G$256,6,0),0)-D179</f>
        <v>0</v>
      </c>
    </row>
    <row r="180" spans="1:8" ht="15" customHeight="1">
      <c r="A180" s="49"/>
      <c r="B180" s="42" t="s">
        <v>457</v>
      </c>
      <c r="C180" s="42" t="s">
        <v>59</v>
      </c>
      <c r="D180" s="43">
        <v>18953</v>
      </c>
      <c r="E180" s="43">
        <v>28472</v>
      </c>
      <c r="F180" s="43" t="s">
        <v>413</v>
      </c>
      <c r="G180" s="43">
        <v>47425</v>
      </c>
      <c r="H180" s="43">
        <f>IFERROR(VLOOKUP(B180,'Ene - May'!$B$13:$G$256,6,0),0)-D180</f>
        <v>0</v>
      </c>
    </row>
    <row r="181" spans="1:8" ht="15" customHeight="1">
      <c r="A181" s="49"/>
      <c r="B181" s="42" t="s">
        <v>458</v>
      </c>
      <c r="C181" s="42" t="s">
        <v>60</v>
      </c>
      <c r="D181" s="43">
        <v>32138</v>
      </c>
      <c r="E181" s="43">
        <v>98338</v>
      </c>
      <c r="F181" s="43" t="s">
        <v>652</v>
      </c>
      <c r="G181" s="43">
        <v>130090</v>
      </c>
      <c r="H181" s="43">
        <f>IFERROR(VLOOKUP(B181,'Ene - May'!$B$13:$G$256,6,0),0)-D181</f>
        <v>0</v>
      </c>
    </row>
    <row r="182" spans="1:8" ht="15" customHeight="1">
      <c r="A182" s="49"/>
      <c r="B182" s="42" t="s">
        <v>459</v>
      </c>
      <c r="C182" s="42" t="s">
        <v>439</v>
      </c>
      <c r="D182" s="43">
        <v>16999</v>
      </c>
      <c r="E182" s="43">
        <v>54661</v>
      </c>
      <c r="F182" s="43" t="s">
        <v>652</v>
      </c>
      <c r="G182" s="43">
        <v>71273</v>
      </c>
      <c r="H182" s="43">
        <f>IFERROR(VLOOKUP(B182,'Ene - May'!$B$13:$G$256,6,0),0)-D182</f>
        <v>0</v>
      </c>
    </row>
    <row r="183" spans="1:8" ht="15" customHeight="1">
      <c r="A183" s="49"/>
      <c r="B183" s="42" t="s">
        <v>575</v>
      </c>
      <c r="C183" s="42" t="s">
        <v>61</v>
      </c>
      <c r="D183" s="43">
        <v>15139</v>
      </c>
      <c r="E183" s="43">
        <v>43677</v>
      </c>
      <c r="F183" s="43" t="s">
        <v>413</v>
      </c>
      <c r="G183" s="43">
        <v>58816</v>
      </c>
      <c r="H183" s="43">
        <f>IFERROR(VLOOKUP(B183,'Ene - May'!$B$13:$G$256,6,0),0)-D183</f>
        <v>0</v>
      </c>
    </row>
    <row r="184" spans="1:8" ht="15" customHeight="1">
      <c r="A184" s="49"/>
      <c r="B184" s="42" t="s">
        <v>317</v>
      </c>
      <c r="C184" s="42" t="s">
        <v>62</v>
      </c>
      <c r="D184" s="43">
        <v>8031</v>
      </c>
      <c r="E184" s="43">
        <v>31057</v>
      </c>
      <c r="F184" s="43" t="s">
        <v>413</v>
      </c>
      <c r="G184" s="43">
        <v>39089</v>
      </c>
      <c r="H184" s="43">
        <f>IFERROR(VLOOKUP(B184,'Ene - May'!$B$13:$G$256,6,0),0)-D184</f>
        <v>0</v>
      </c>
    </row>
    <row r="185" spans="1:8" ht="15" customHeight="1">
      <c r="A185" s="49"/>
      <c r="B185" s="42" t="s">
        <v>715</v>
      </c>
      <c r="C185" s="42" t="s">
        <v>441</v>
      </c>
      <c r="D185" s="43">
        <v>1505</v>
      </c>
      <c r="E185" s="43">
        <v>4735</v>
      </c>
      <c r="F185" s="43" t="s">
        <v>413</v>
      </c>
      <c r="G185" s="43">
        <v>6240</v>
      </c>
      <c r="H185" s="43">
        <f>IFERROR(VLOOKUP(B185,'Ene - May'!$B$13:$G$256,6,0),0)-D185</f>
        <v>0</v>
      </c>
    </row>
    <row r="186" spans="1:8" ht="15" customHeight="1">
      <c r="A186" s="49"/>
      <c r="B186" s="42" t="s">
        <v>576</v>
      </c>
      <c r="C186" s="42" t="s">
        <v>531</v>
      </c>
      <c r="D186" s="43">
        <v>3130</v>
      </c>
      <c r="E186" s="43">
        <v>5768</v>
      </c>
      <c r="F186" s="43" t="s">
        <v>413</v>
      </c>
      <c r="G186" s="43">
        <v>8898</v>
      </c>
      <c r="H186" s="43">
        <f>IFERROR(VLOOKUP(B186,'Ene - May'!$B$13:$G$256,6,0),0)-D186</f>
        <v>0</v>
      </c>
    </row>
    <row r="187" spans="1:8" ht="15" customHeight="1">
      <c r="A187" s="49"/>
      <c r="B187" s="42" t="s">
        <v>318</v>
      </c>
      <c r="C187" s="42" t="s">
        <v>63</v>
      </c>
      <c r="D187" s="43">
        <v>3396</v>
      </c>
      <c r="E187" s="43">
        <v>19884</v>
      </c>
      <c r="F187" s="43" t="s">
        <v>413</v>
      </c>
      <c r="G187" s="43">
        <v>23280</v>
      </c>
      <c r="H187" s="43">
        <f>IFERROR(VLOOKUP(B187,'Ene - May'!$B$13:$G$256,6,0),0)-D187</f>
        <v>0</v>
      </c>
    </row>
    <row r="188" spans="1:8" ht="15.95" customHeight="1">
      <c r="A188" s="49"/>
      <c r="B188" s="42" t="s">
        <v>339</v>
      </c>
      <c r="C188" s="42" t="s">
        <v>64</v>
      </c>
      <c r="D188" s="43" t="s">
        <v>413</v>
      </c>
      <c r="E188" s="43" t="s">
        <v>651</v>
      </c>
      <c r="F188" s="43" t="s">
        <v>413</v>
      </c>
      <c r="G188" s="43" t="s">
        <v>651</v>
      </c>
      <c r="H188" s="43">
        <f>IFERROR(VLOOKUP(B188,'Ene - May'!$B$13:$G$256,6,0),0)-D188</f>
        <v>0</v>
      </c>
    </row>
    <row r="189" spans="1:8" ht="15" customHeight="1">
      <c r="A189" s="49"/>
      <c r="B189" s="42" t="s">
        <v>460</v>
      </c>
      <c r="C189" s="42" t="s">
        <v>443</v>
      </c>
      <c r="D189" s="43" t="s">
        <v>650</v>
      </c>
      <c r="E189" s="43">
        <v>15526</v>
      </c>
      <c r="F189" s="43" t="s">
        <v>413</v>
      </c>
      <c r="G189" s="43">
        <v>16414</v>
      </c>
      <c r="H189" s="43">
        <f>IFERROR(VLOOKUP(B189,'Ene - May'!$B$13:$G$256,6,0),0)-D189</f>
        <v>0</v>
      </c>
    </row>
    <row r="190" spans="1:8" ht="15" customHeight="1">
      <c r="A190" s="49"/>
      <c r="B190" s="42" t="s">
        <v>461</v>
      </c>
      <c r="C190" s="42" t="s">
        <v>445</v>
      </c>
      <c r="D190" s="43" t="s">
        <v>413</v>
      </c>
      <c r="E190" s="43">
        <v>5590</v>
      </c>
      <c r="F190" s="43" t="s">
        <v>413</v>
      </c>
      <c r="G190" s="43">
        <v>5590</v>
      </c>
      <c r="H190" s="43">
        <f>IFERROR(VLOOKUP(B190,'Ene - May'!$B$13:$G$256,6,0),0)-D190</f>
        <v>0</v>
      </c>
    </row>
    <row r="191" spans="1:8" ht="15" customHeight="1">
      <c r="A191" s="49"/>
      <c r="B191" s="42" t="s">
        <v>462</v>
      </c>
      <c r="C191" s="42" t="s">
        <v>447</v>
      </c>
      <c r="D191" s="43" t="s">
        <v>649</v>
      </c>
      <c r="E191" s="43" t="s">
        <v>648</v>
      </c>
      <c r="F191" s="43" t="s">
        <v>413</v>
      </c>
      <c r="G191" s="43">
        <v>1397</v>
      </c>
      <c r="H191" s="43">
        <f>IFERROR(VLOOKUP(B191,'Ene - May'!$B$13:$G$256,6,0),0)-D191</f>
        <v>0</v>
      </c>
    </row>
    <row r="192" spans="1:8" ht="15" customHeight="1">
      <c r="A192" s="49"/>
      <c r="B192" s="42" t="s">
        <v>463</v>
      </c>
      <c r="C192" s="42" t="s">
        <v>449</v>
      </c>
      <c r="D192" s="43" t="s">
        <v>413</v>
      </c>
      <c r="E192" s="43">
        <v>9250</v>
      </c>
      <c r="F192" s="43" t="s">
        <v>413</v>
      </c>
      <c r="G192" s="43">
        <v>9250</v>
      </c>
      <c r="H192" s="43">
        <f>IFERROR(VLOOKUP(B192,'Ene - May'!$B$13:$G$256,6,0),0)-D192</f>
        <v>0</v>
      </c>
    </row>
    <row r="193" spans="1:8" ht="15.95" customHeight="1">
      <c r="A193" s="49"/>
      <c r="B193" s="42" t="s">
        <v>577</v>
      </c>
      <c r="C193" s="42" t="s">
        <v>529</v>
      </c>
      <c r="D193" s="43" t="s">
        <v>647</v>
      </c>
      <c r="E193" s="43" t="s">
        <v>413</v>
      </c>
      <c r="F193" s="43" t="s">
        <v>413</v>
      </c>
      <c r="G193" s="43" t="s">
        <v>647</v>
      </c>
      <c r="H193" s="43">
        <f>IFERROR(VLOOKUP(B193,'Ene - May'!$B$13:$G$256,6,0),0)-D193</f>
        <v>0</v>
      </c>
    </row>
    <row r="194" spans="1:8" ht="15" customHeight="1">
      <c r="A194" s="49"/>
      <c r="B194" s="42" t="s">
        <v>319</v>
      </c>
      <c r="C194" s="42" t="s">
        <v>65</v>
      </c>
      <c r="D194" s="43">
        <v>120805</v>
      </c>
      <c r="E194" s="43">
        <v>193439</v>
      </c>
      <c r="F194" s="43" t="s">
        <v>413</v>
      </c>
      <c r="G194" s="43">
        <v>314244</v>
      </c>
      <c r="H194" s="43">
        <f>IFERROR(VLOOKUP(B194,'Ene - May'!$B$13:$G$256,6,0),0)-D194</f>
        <v>0</v>
      </c>
    </row>
    <row r="195" spans="1:8" ht="15" customHeight="1">
      <c r="A195" s="49"/>
      <c r="B195" s="42" t="s">
        <v>320</v>
      </c>
      <c r="C195" s="42" t="s">
        <v>66</v>
      </c>
      <c r="D195" s="43">
        <v>119664</v>
      </c>
      <c r="E195" s="43">
        <v>186866</v>
      </c>
      <c r="F195" s="43" t="s">
        <v>413</v>
      </c>
      <c r="G195" s="43">
        <v>306530</v>
      </c>
      <c r="H195" s="43">
        <f>IFERROR(VLOOKUP(B195,'Ene - May'!$B$13:$G$256,6,0),0)-D195</f>
        <v>0</v>
      </c>
    </row>
    <row r="196" spans="1:8" ht="15" customHeight="1">
      <c r="A196" s="49"/>
      <c r="B196" s="42" t="s">
        <v>578</v>
      </c>
      <c r="C196" s="42" t="s">
        <v>532</v>
      </c>
      <c r="D196" s="43">
        <v>1081</v>
      </c>
      <c r="E196" s="43">
        <v>5253</v>
      </c>
      <c r="F196" s="43" t="s">
        <v>413</v>
      </c>
      <c r="G196" s="43">
        <v>6334</v>
      </c>
      <c r="H196" s="43">
        <f>IFERROR(VLOOKUP(B196,'Ene - May'!$B$13:$G$256,6,0),0)-D196</f>
        <v>0</v>
      </c>
    </row>
    <row r="197" spans="1:8" ht="15.95" customHeight="1">
      <c r="A197" s="49"/>
      <c r="B197" s="42" t="s">
        <v>716</v>
      </c>
      <c r="C197" s="42" t="s">
        <v>273</v>
      </c>
      <c r="D197" s="43" t="s">
        <v>600</v>
      </c>
      <c r="E197" s="43">
        <v>1320</v>
      </c>
      <c r="F197" s="43" t="s">
        <v>413</v>
      </c>
      <c r="G197" s="43">
        <v>1380</v>
      </c>
      <c r="H197" s="43">
        <f>IFERROR(VLOOKUP(B197,'Ene - May'!$B$13:$G$256,6,0),0)-D197</f>
        <v>0</v>
      </c>
    </row>
    <row r="198" spans="1:8" ht="15" customHeight="1">
      <c r="A198" s="49"/>
      <c r="B198" s="42" t="s">
        <v>321</v>
      </c>
      <c r="C198" s="42" t="s">
        <v>67</v>
      </c>
      <c r="D198" s="43">
        <v>245831</v>
      </c>
      <c r="E198" s="43">
        <v>552134</v>
      </c>
      <c r="F198" s="43">
        <v>1558</v>
      </c>
      <c r="G198" s="43">
        <v>796407</v>
      </c>
      <c r="H198" s="43">
        <f>IFERROR(VLOOKUP(B198,'Ene - May'!$B$13:$G$256,6,0),0)-D198</f>
        <v>0</v>
      </c>
    </row>
    <row r="199" spans="1:8" ht="15" customHeight="1">
      <c r="A199" s="49"/>
      <c r="B199" s="42" t="s">
        <v>322</v>
      </c>
      <c r="C199" s="42" t="s">
        <v>68</v>
      </c>
      <c r="D199" s="43">
        <v>1275</v>
      </c>
      <c r="E199" s="43">
        <v>12219</v>
      </c>
      <c r="F199" s="43" t="s">
        <v>413</v>
      </c>
      <c r="G199" s="43">
        <v>13494</v>
      </c>
      <c r="H199" s="43">
        <f>IFERROR(VLOOKUP(B199,'Ene - May'!$B$13:$G$256,6,0),0)-D199</f>
        <v>0</v>
      </c>
    </row>
    <row r="200" spans="1:8" ht="15.95" customHeight="1">
      <c r="A200" s="49"/>
      <c r="B200" s="42" t="s">
        <v>579</v>
      </c>
      <c r="C200" s="42" t="s">
        <v>596</v>
      </c>
      <c r="D200" s="43" t="s">
        <v>413</v>
      </c>
      <c r="E200" s="43" t="s">
        <v>646</v>
      </c>
      <c r="F200" s="43" t="s">
        <v>413</v>
      </c>
      <c r="G200" s="43" t="s">
        <v>646</v>
      </c>
      <c r="H200" s="43">
        <f>IFERROR(VLOOKUP(B200,'Ene - May'!$B$13:$G$256,6,0),0)-D200</f>
        <v>0</v>
      </c>
    </row>
    <row r="201" spans="1:8" ht="15" customHeight="1">
      <c r="A201" s="49"/>
      <c r="B201" s="42" t="s">
        <v>323</v>
      </c>
      <c r="C201" s="42" t="s">
        <v>69</v>
      </c>
      <c r="D201" s="43">
        <v>1085</v>
      </c>
      <c r="E201" s="43">
        <v>12086</v>
      </c>
      <c r="F201" s="43" t="s">
        <v>413</v>
      </c>
      <c r="G201" s="43">
        <v>13170</v>
      </c>
      <c r="H201" s="43">
        <f>IFERROR(VLOOKUP(B201,'Ene - May'!$B$13:$G$256,6,0),0)-D201</f>
        <v>0</v>
      </c>
    </row>
    <row r="202" spans="1:8" ht="15" customHeight="1">
      <c r="A202" s="49"/>
      <c r="B202" s="42" t="s">
        <v>717</v>
      </c>
      <c r="C202" s="42" t="s">
        <v>274</v>
      </c>
      <c r="D202" s="43" t="s">
        <v>645</v>
      </c>
      <c r="E202" s="43" t="s">
        <v>644</v>
      </c>
      <c r="F202" s="43" t="s">
        <v>413</v>
      </c>
      <c r="G202" s="43" t="s">
        <v>643</v>
      </c>
      <c r="H202" s="43">
        <f>IFERROR(VLOOKUP(B202,'Ene - May'!$B$13:$G$256,6,0),0)-D202</f>
        <v>0</v>
      </c>
    </row>
    <row r="203" spans="1:8" ht="15" customHeight="1">
      <c r="A203" s="49"/>
      <c r="B203" s="42" t="s">
        <v>324</v>
      </c>
      <c r="C203" s="42" t="s">
        <v>70</v>
      </c>
      <c r="D203" s="43">
        <v>4074</v>
      </c>
      <c r="E203" s="43">
        <v>7571</v>
      </c>
      <c r="F203" s="43" t="s">
        <v>413</v>
      </c>
      <c r="G203" s="43">
        <v>11645</v>
      </c>
      <c r="H203" s="43">
        <f>IFERROR(VLOOKUP(B203,'Ene - May'!$B$13:$G$256,6,0),0)-D203</f>
        <v>0</v>
      </c>
    </row>
    <row r="204" spans="1:8" ht="15" customHeight="1">
      <c r="A204" s="49"/>
      <c r="B204" s="42" t="s">
        <v>325</v>
      </c>
      <c r="C204" s="42" t="s">
        <v>71</v>
      </c>
      <c r="D204" s="43">
        <v>3836</v>
      </c>
      <c r="E204" s="43">
        <v>6708</v>
      </c>
      <c r="F204" s="43" t="s">
        <v>413</v>
      </c>
      <c r="G204" s="43">
        <v>10544</v>
      </c>
      <c r="H204" s="43">
        <f>IFERROR(VLOOKUP(B204,'Ene - May'!$B$13:$G$256,6,0),0)-D204</f>
        <v>0</v>
      </c>
    </row>
    <row r="205" spans="1:8" ht="15" customHeight="1">
      <c r="A205" s="49"/>
      <c r="B205" s="42" t="s">
        <v>718</v>
      </c>
      <c r="C205" s="42" t="s">
        <v>533</v>
      </c>
      <c r="D205" s="43" t="s">
        <v>642</v>
      </c>
      <c r="E205" s="43" t="s">
        <v>641</v>
      </c>
      <c r="F205" s="43" t="s">
        <v>413</v>
      </c>
      <c r="G205" s="43">
        <v>1101</v>
      </c>
      <c r="H205" s="43">
        <f>IFERROR(VLOOKUP(B205,'Ene - May'!$B$13:$G$256,6,0),0)-D205</f>
        <v>0</v>
      </c>
    </row>
    <row r="206" spans="1:8" ht="15" customHeight="1">
      <c r="A206" s="49"/>
      <c r="B206" s="42" t="s">
        <v>326</v>
      </c>
      <c r="C206" s="42" t="s">
        <v>20</v>
      </c>
      <c r="D206" s="43">
        <v>19729</v>
      </c>
      <c r="E206" s="43">
        <v>31476</v>
      </c>
      <c r="F206" s="43" t="s">
        <v>640</v>
      </c>
      <c r="G206" s="43">
        <v>51147</v>
      </c>
      <c r="H206" s="43">
        <f>IFERROR(VLOOKUP(B206,'Ene - May'!$B$13:$G$256,6,0),0)-D206</f>
        <v>0</v>
      </c>
    </row>
    <row r="207" spans="1:8" ht="15" customHeight="1">
      <c r="A207" s="49"/>
      <c r="B207" s="42" t="s">
        <v>327</v>
      </c>
      <c r="C207" s="42" t="s">
        <v>21</v>
      </c>
      <c r="D207" s="43">
        <v>7595</v>
      </c>
      <c r="E207" s="43">
        <v>14009</v>
      </c>
      <c r="F207" s="43" t="s">
        <v>413</v>
      </c>
      <c r="G207" s="43">
        <v>21604</v>
      </c>
      <c r="H207" s="43">
        <f>IFERROR(VLOOKUP(B207,'Ene - May'!$B$13:$G$256,6,0),0)-D207</f>
        <v>0</v>
      </c>
    </row>
    <row r="208" spans="1:8" ht="15" customHeight="1">
      <c r="A208" s="49"/>
      <c r="B208" s="42" t="s">
        <v>719</v>
      </c>
      <c r="C208" s="42" t="s">
        <v>72</v>
      </c>
      <c r="D208" s="43">
        <v>3795</v>
      </c>
      <c r="E208" s="43" t="s">
        <v>413</v>
      </c>
      <c r="F208" s="43" t="s">
        <v>413</v>
      </c>
      <c r="G208" s="43">
        <v>3795</v>
      </c>
      <c r="H208" s="43">
        <f>IFERROR(VLOOKUP(B208,'Ene - May'!$B$13:$G$256,6,0),0)-D208</f>
        <v>0</v>
      </c>
    </row>
    <row r="209" spans="1:8" ht="15.95" customHeight="1">
      <c r="A209" s="49"/>
      <c r="B209" s="42" t="s">
        <v>328</v>
      </c>
      <c r="C209" s="42" t="s">
        <v>73</v>
      </c>
      <c r="D209" s="43">
        <v>3821</v>
      </c>
      <c r="E209" s="43">
        <v>6749</v>
      </c>
      <c r="F209" s="43" t="s">
        <v>640</v>
      </c>
      <c r="G209" s="43">
        <v>10511</v>
      </c>
      <c r="H209" s="43">
        <f>IFERROR(VLOOKUP(B209,'Ene - May'!$B$13:$G$256,6,0),0)-D209</f>
        <v>0</v>
      </c>
    </row>
    <row r="210" spans="1:8" ht="15" customHeight="1">
      <c r="A210" s="49"/>
      <c r="B210" s="42" t="s">
        <v>329</v>
      </c>
      <c r="C210" s="42" t="s">
        <v>74</v>
      </c>
      <c r="D210" s="43">
        <v>4089</v>
      </c>
      <c r="E210" s="43">
        <v>7520</v>
      </c>
      <c r="F210" s="43" t="s">
        <v>413</v>
      </c>
      <c r="G210" s="43">
        <v>11609</v>
      </c>
      <c r="H210" s="43">
        <f>IFERROR(VLOOKUP(B210,'Ene - May'!$B$13:$G$256,6,0),0)-D210</f>
        <v>0</v>
      </c>
    </row>
    <row r="211" spans="1:8" ht="15" customHeight="1">
      <c r="A211" s="49"/>
      <c r="B211" s="42" t="s">
        <v>580</v>
      </c>
      <c r="C211" s="42" t="s">
        <v>597</v>
      </c>
      <c r="D211" s="43" t="s">
        <v>413</v>
      </c>
      <c r="E211" s="43" t="s">
        <v>639</v>
      </c>
      <c r="F211" s="43" t="s">
        <v>413</v>
      </c>
      <c r="G211" s="43" t="s">
        <v>639</v>
      </c>
      <c r="H211" s="43">
        <f>IFERROR(VLOOKUP(B211,'Ene - May'!$B$13:$G$256,6,0),0)-D211</f>
        <v>0</v>
      </c>
    </row>
    <row r="212" spans="1:8" ht="15" customHeight="1">
      <c r="A212" s="49"/>
      <c r="B212" s="42" t="s">
        <v>581</v>
      </c>
      <c r="C212" s="42" t="s">
        <v>222</v>
      </c>
      <c r="D212" s="43" t="s">
        <v>638</v>
      </c>
      <c r="E212" s="43" t="s">
        <v>637</v>
      </c>
      <c r="F212" s="43" t="s">
        <v>413</v>
      </c>
      <c r="G212" s="43" t="s">
        <v>636</v>
      </c>
      <c r="H212" s="43">
        <f>IFERROR(VLOOKUP(B212,'Ene - May'!$B$13:$G$256,6,0),0)-D212</f>
        <v>0</v>
      </c>
    </row>
    <row r="213" spans="1:8" ht="15" customHeight="1">
      <c r="A213" s="49"/>
      <c r="B213" s="42" t="s">
        <v>330</v>
      </c>
      <c r="C213" s="42" t="s">
        <v>223</v>
      </c>
      <c r="D213" s="43" t="s">
        <v>635</v>
      </c>
      <c r="E213" s="43">
        <v>1964</v>
      </c>
      <c r="F213" s="43" t="s">
        <v>413</v>
      </c>
      <c r="G213" s="43">
        <v>2364</v>
      </c>
      <c r="H213" s="43">
        <f>IFERROR(VLOOKUP(B213,'Ene - May'!$B$13:$G$256,6,0),0)-D213</f>
        <v>0</v>
      </c>
    </row>
    <row r="214" spans="1:8" ht="15" customHeight="1">
      <c r="A214" s="49"/>
      <c r="B214" s="42" t="s">
        <v>331</v>
      </c>
      <c r="C214" s="42" t="s">
        <v>75</v>
      </c>
      <c r="D214" s="43" t="s">
        <v>634</v>
      </c>
      <c r="E214" s="43" t="s">
        <v>633</v>
      </c>
      <c r="F214" s="43" t="s">
        <v>413</v>
      </c>
      <c r="G214" s="43" t="s">
        <v>632</v>
      </c>
      <c r="H214" s="43">
        <f>IFERROR(VLOOKUP(B214,'Ene - May'!$B$13:$G$256,6,0),0)-D214</f>
        <v>0</v>
      </c>
    </row>
    <row r="215" spans="1:8" ht="15" customHeight="1">
      <c r="A215" s="49"/>
      <c r="B215" s="42" t="s">
        <v>332</v>
      </c>
      <c r="C215" s="42" t="s">
        <v>76</v>
      </c>
      <c r="D215" s="43">
        <v>55569</v>
      </c>
      <c r="E215" s="43">
        <v>104738</v>
      </c>
      <c r="F215" s="43" t="s">
        <v>413</v>
      </c>
      <c r="G215" s="43">
        <v>160307</v>
      </c>
      <c r="H215" s="43">
        <f>IFERROR(VLOOKUP(B215,'Ene - May'!$B$13:$G$256,6,0),0)-D215</f>
        <v>0</v>
      </c>
    </row>
    <row r="216" spans="1:8" ht="15" customHeight="1">
      <c r="A216" s="49"/>
      <c r="B216" s="42" t="s">
        <v>340</v>
      </c>
      <c r="C216" s="42" t="s">
        <v>77</v>
      </c>
      <c r="D216" s="43">
        <v>8450</v>
      </c>
      <c r="E216" s="43">
        <v>12333</v>
      </c>
      <c r="F216" s="43" t="s">
        <v>413</v>
      </c>
      <c r="G216" s="43">
        <v>20783</v>
      </c>
      <c r="H216" s="43">
        <f>IFERROR(VLOOKUP(B216,'Ene - May'!$B$13:$G$256,6,0),0)-D216</f>
        <v>0</v>
      </c>
    </row>
    <row r="217" spans="1:8" ht="15" customHeight="1">
      <c r="A217" s="49"/>
      <c r="B217" s="42" t="s">
        <v>373</v>
      </c>
      <c r="C217" s="42" t="s">
        <v>365</v>
      </c>
      <c r="D217" s="43" t="s">
        <v>631</v>
      </c>
      <c r="E217" s="43" t="s">
        <v>630</v>
      </c>
      <c r="F217" s="43" t="s">
        <v>413</v>
      </c>
      <c r="G217" s="43">
        <v>1770</v>
      </c>
      <c r="H217" s="43">
        <f>IFERROR(VLOOKUP(B217,'Ene - May'!$B$13:$G$256,6,0),0)-D217</f>
        <v>0</v>
      </c>
    </row>
    <row r="218" spans="1:8" ht="15.95" customHeight="1">
      <c r="A218" s="49"/>
      <c r="B218" s="42" t="s">
        <v>582</v>
      </c>
      <c r="C218" s="42" t="s">
        <v>366</v>
      </c>
      <c r="D218" s="43" t="s">
        <v>629</v>
      </c>
      <c r="E218" s="43">
        <v>1661</v>
      </c>
      <c r="F218" s="43" t="s">
        <v>413</v>
      </c>
      <c r="G218" s="43">
        <v>2099</v>
      </c>
      <c r="H218" s="43">
        <f>IFERROR(VLOOKUP(B218,'Ene - May'!$B$13:$G$256,6,0),0)-D218</f>
        <v>0</v>
      </c>
    </row>
    <row r="219" spans="1:8" ht="15" customHeight="1">
      <c r="A219" s="49"/>
      <c r="B219" s="42" t="s">
        <v>583</v>
      </c>
      <c r="C219" s="42" t="s">
        <v>78</v>
      </c>
      <c r="D219" s="43">
        <v>14804</v>
      </c>
      <c r="E219" s="43">
        <v>25581</v>
      </c>
      <c r="F219" s="43" t="s">
        <v>413</v>
      </c>
      <c r="G219" s="43">
        <v>40385</v>
      </c>
      <c r="H219" s="43">
        <f>IFERROR(VLOOKUP(B219,'Ene - May'!$B$13:$G$256,6,0),0)-D219</f>
        <v>0</v>
      </c>
    </row>
    <row r="220" spans="1:8" ht="15" customHeight="1">
      <c r="A220" s="49"/>
      <c r="B220" s="42" t="s">
        <v>333</v>
      </c>
      <c r="C220" s="42" t="s">
        <v>79</v>
      </c>
      <c r="D220" s="43">
        <v>9837</v>
      </c>
      <c r="E220" s="43">
        <v>16001</v>
      </c>
      <c r="F220" s="43" t="s">
        <v>413</v>
      </c>
      <c r="G220" s="43">
        <v>25838</v>
      </c>
      <c r="H220" s="43">
        <f>IFERROR(VLOOKUP(B220,'Ene - May'!$B$13:$G$256,6,0),0)-D220</f>
        <v>0</v>
      </c>
    </row>
    <row r="221" spans="1:8" ht="15" customHeight="1">
      <c r="A221" s="49"/>
      <c r="B221" s="42" t="s">
        <v>334</v>
      </c>
      <c r="C221" s="42" t="s">
        <v>80</v>
      </c>
      <c r="D221" s="43">
        <v>8135</v>
      </c>
      <c r="E221" s="43">
        <v>14095</v>
      </c>
      <c r="F221" s="43" t="s">
        <v>413</v>
      </c>
      <c r="G221" s="43">
        <v>22229</v>
      </c>
      <c r="H221" s="43">
        <f>IFERROR(VLOOKUP(B221,'Ene - May'!$B$13:$G$256,6,0),0)-D221</f>
        <v>0</v>
      </c>
    </row>
    <row r="222" spans="1:8" ht="15" customHeight="1">
      <c r="A222" s="49"/>
      <c r="B222" s="42" t="s">
        <v>374</v>
      </c>
      <c r="C222" s="42" t="s">
        <v>367</v>
      </c>
      <c r="D222" s="43">
        <v>11439</v>
      </c>
      <c r="E222" s="43">
        <v>31340</v>
      </c>
      <c r="F222" s="43" t="s">
        <v>413</v>
      </c>
      <c r="G222" s="43">
        <v>42779</v>
      </c>
      <c r="H222" s="43">
        <f>IFERROR(VLOOKUP(B222,'Ene - May'!$B$13:$G$256,6,0),0)-D222</f>
        <v>0</v>
      </c>
    </row>
    <row r="223" spans="1:8" ht="15" customHeight="1">
      <c r="A223" s="49"/>
      <c r="B223" s="42" t="s">
        <v>335</v>
      </c>
      <c r="C223" s="42" t="s">
        <v>81</v>
      </c>
      <c r="D223" s="43">
        <v>1607</v>
      </c>
      <c r="E223" s="43">
        <v>2817</v>
      </c>
      <c r="F223" s="43" t="s">
        <v>413</v>
      </c>
      <c r="G223" s="43">
        <v>4424</v>
      </c>
      <c r="H223" s="43">
        <f>IFERROR(VLOOKUP(B223,'Ene - May'!$B$13:$G$256,6,0),0)-D223</f>
        <v>0</v>
      </c>
    </row>
    <row r="224" spans="1:8" ht="15" customHeight="1">
      <c r="A224" s="49"/>
      <c r="B224" s="42" t="s">
        <v>336</v>
      </c>
      <c r="C224" s="42" t="s">
        <v>82</v>
      </c>
      <c r="D224" s="43">
        <v>22378</v>
      </c>
      <c r="E224" s="43">
        <v>18678</v>
      </c>
      <c r="F224" s="43" t="s">
        <v>413</v>
      </c>
      <c r="G224" s="43">
        <v>41056</v>
      </c>
      <c r="H224" s="43">
        <f>IFERROR(VLOOKUP(B224,'Ene - May'!$B$13:$G$256,6,0),0)-D224</f>
        <v>0</v>
      </c>
    </row>
    <row r="225" spans="1:8" ht="15.95" customHeight="1">
      <c r="A225" s="49"/>
      <c r="B225" s="42" t="s">
        <v>172</v>
      </c>
      <c r="C225" s="42" t="s">
        <v>83</v>
      </c>
      <c r="D225" s="43">
        <v>18933</v>
      </c>
      <c r="E225" s="43">
        <v>9734</v>
      </c>
      <c r="F225" s="43" t="s">
        <v>413</v>
      </c>
      <c r="G225" s="43">
        <v>28667</v>
      </c>
      <c r="H225" s="43">
        <f>IFERROR(VLOOKUP(B225,'Ene - May'!$B$13:$G$256,6,0),0)-D225</f>
        <v>0</v>
      </c>
    </row>
    <row r="226" spans="1:8" ht="15" customHeight="1">
      <c r="A226" s="49"/>
      <c r="B226" s="42" t="s">
        <v>197</v>
      </c>
      <c r="C226" s="42" t="s">
        <v>84</v>
      </c>
      <c r="D226" s="43" t="s">
        <v>127</v>
      </c>
      <c r="E226" s="43">
        <v>4014</v>
      </c>
      <c r="F226" s="43" t="s">
        <v>413</v>
      </c>
      <c r="G226" s="43">
        <v>4447</v>
      </c>
      <c r="H226" s="43">
        <f>IFERROR(VLOOKUP(B226,'Ene - May'!$B$13:$G$256,6,0),0)-D226</f>
        <v>0</v>
      </c>
    </row>
    <row r="227" spans="1:8" ht="15" customHeight="1">
      <c r="A227" s="49"/>
      <c r="B227" s="42" t="s">
        <v>375</v>
      </c>
      <c r="C227" s="42" t="s">
        <v>368</v>
      </c>
      <c r="D227" s="43" t="s">
        <v>628</v>
      </c>
      <c r="E227" s="43">
        <v>1635</v>
      </c>
      <c r="F227" s="43" t="s">
        <v>413</v>
      </c>
      <c r="G227" s="43">
        <v>2055</v>
      </c>
      <c r="H227" s="43">
        <f>IFERROR(VLOOKUP(B227,'Ene - May'!$B$13:$G$256,6,0),0)-D227</f>
        <v>0</v>
      </c>
    </row>
    <row r="228" spans="1:8" ht="15" customHeight="1">
      <c r="A228" s="49"/>
      <c r="B228" s="42" t="s">
        <v>173</v>
      </c>
      <c r="C228" s="42" t="s">
        <v>464</v>
      </c>
      <c r="D228" s="43" t="s">
        <v>627</v>
      </c>
      <c r="E228" s="43" t="s">
        <v>626</v>
      </c>
      <c r="F228" s="43" t="s">
        <v>413</v>
      </c>
      <c r="G228" s="43">
        <v>1138</v>
      </c>
      <c r="H228" s="43">
        <f>IFERROR(VLOOKUP(B228,'Ene - May'!$B$13:$G$256,6,0),0)-D228</f>
        <v>0</v>
      </c>
    </row>
    <row r="229" spans="1:8" ht="15" customHeight="1">
      <c r="A229" s="49"/>
      <c r="B229" s="42" t="s">
        <v>584</v>
      </c>
      <c r="C229" s="42" t="s">
        <v>86</v>
      </c>
      <c r="D229" s="43">
        <v>2161</v>
      </c>
      <c r="E229" s="43">
        <v>2380</v>
      </c>
      <c r="F229" s="43" t="s">
        <v>413</v>
      </c>
      <c r="G229" s="43">
        <v>4541</v>
      </c>
      <c r="H229" s="43">
        <f>IFERROR(VLOOKUP(B229,'Ene - May'!$B$13:$G$256,6,0),0)-D229</f>
        <v>0</v>
      </c>
    </row>
    <row r="230" spans="1:8" ht="15.95" customHeight="1">
      <c r="A230" s="49"/>
      <c r="B230" s="42" t="s">
        <v>225</v>
      </c>
      <c r="C230" s="42" t="s">
        <v>224</v>
      </c>
      <c r="D230" s="43" t="s">
        <v>413</v>
      </c>
      <c r="E230" s="43" t="s">
        <v>625</v>
      </c>
      <c r="F230" s="43" t="s">
        <v>413</v>
      </c>
      <c r="G230" s="43" t="s">
        <v>625</v>
      </c>
      <c r="H230" s="43">
        <f>IFERROR(VLOOKUP(B230,'Ene - May'!$B$13:$G$256,6,0),0)-D230</f>
        <v>0</v>
      </c>
    </row>
    <row r="231" spans="1:8" ht="15" customHeight="1">
      <c r="A231" s="49"/>
      <c r="B231" s="42" t="s">
        <v>174</v>
      </c>
      <c r="C231" s="42" t="s">
        <v>87</v>
      </c>
      <c r="D231" s="43">
        <v>15593</v>
      </c>
      <c r="E231" s="43">
        <v>99751</v>
      </c>
      <c r="F231" s="43" t="s">
        <v>413</v>
      </c>
      <c r="G231" s="43">
        <v>115344</v>
      </c>
      <c r="H231" s="43">
        <f>IFERROR(VLOOKUP(B231,'Ene - May'!$B$13:$G$256,6,0),0)-D231</f>
        <v>0</v>
      </c>
    </row>
    <row r="232" spans="1:8" ht="15" customHeight="1">
      <c r="A232" s="49"/>
      <c r="B232" s="42" t="s">
        <v>175</v>
      </c>
      <c r="C232" s="42" t="s">
        <v>88</v>
      </c>
      <c r="D232" s="43" t="s">
        <v>599</v>
      </c>
      <c r="E232" s="43">
        <v>7942</v>
      </c>
      <c r="F232" s="43" t="s">
        <v>413</v>
      </c>
      <c r="G232" s="43">
        <v>8283</v>
      </c>
      <c r="H232" s="43">
        <f>IFERROR(VLOOKUP(B232,'Ene - May'!$B$13:$G$256,6,0),0)-D232</f>
        <v>0</v>
      </c>
    </row>
    <row r="233" spans="1:8" ht="15" customHeight="1">
      <c r="A233" s="49"/>
      <c r="B233" s="42" t="s">
        <v>585</v>
      </c>
      <c r="C233" s="42" t="s">
        <v>89</v>
      </c>
      <c r="D233" s="43">
        <v>9663</v>
      </c>
      <c r="E233" s="43">
        <v>46780</v>
      </c>
      <c r="F233" s="43" t="s">
        <v>413</v>
      </c>
      <c r="G233" s="43">
        <v>56443</v>
      </c>
      <c r="H233" s="43">
        <f>IFERROR(VLOOKUP(B233,'Ene - May'!$B$13:$G$256,6,0),0)-D233</f>
        <v>0</v>
      </c>
    </row>
    <row r="234" spans="1:8" ht="15" customHeight="1">
      <c r="A234" s="49"/>
      <c r="B234" s="42" t="s">
        <v>748</v>
      </c>
      <c r="C234" s="42" t="s">
        <v>771</v>
      </c>
      <c r="D234" s="43" t="s">
        <v>413</v>
      </c>
      <c r="E234" s="43" t="s">
        <v>624</v>
      </c>
      <c r="F234" s="43" t="s">
        <v>413</v>
      </c>
      <c r="G234" s="43" t="s">
        <v>624</v>
      </c>
      <c r="H234" s="43">
        <f>IFERROR(VLOOKUP(B234,'Ene - May'!$B$13:$G$256,6,0),0)-D234</f>
        <v>0</v>
      </c>
    </row>
    <row r="235" spans="1:8" ht="15" customHeight="1">
      <c r="A235" s="49"/>
      <c r="B235" s="42" t="s">
        <v>720</v>
      </c>
      <c r="C235" s="42" t="s">
        <v>534</v>
      </c>
      <c r="D235" s="43">
        <v>5589</v>
      </c>
      <c r="E235" s="43">
        <v>44844</v>
      </c>
      <c r="F235" s="43" t="s">
        <v>413</v>
      </c>
      <c r="G235" s="43">
        <v>50433</v>
      </c>
      <c r="H235" s="43">
        <f>IFERROR(VLOOKUP(B235,'Ene - May'!$B$13:$G$256,6,0),0)-D235</f>
        <v>0</v>
      </c>
    </row>
    <row r="236" spans="1:8" ht="15" customHeight="1">
      <c r="A236" s="49"/>
      <c r="B236" s="42" t="s">
        <v>157</v>
      </c>
      <c r="C236" s="42" t="s">
        <v>90</v>
      </c>
      <c r="D236" s="43">
        <v>40034</v>
      </c>
      <c r="E236" s="43">
        <v>74862</v>
      </c>
      <c r="F236" s="43" t="s">
        <v>413</v>
      </c>
      <c r="G236" s="43">
        <v>114896</v>
      </c>
      <c r="H236" s="43">
        <f>IFERROR(VLOOKUP(B236,'Ene - May'!$B$13:$G$256,6,0),0)-D236</f>
        <v>0</v>
      </c>
    </row>
    <row r="237" spans="1:8" ht="15" customHeight="1">
      <c r="A237" s="49"/>
      <c r="B237" s="42" t="s">
        <v>176</v>
      </c>
      <c r="C237" s="42" t="s">
        <v>91</v>
      </c>
      <c r="D237" s="43">
        <v>15222</v>
      </c>
      <c r="E237" s="43">
        <v>29325</v>
      </c>
      <c r="F237" s="43" t="s">
        <v>413</v>
      </c>
      <c r="G237" s="43">
        <v>44548</v>
      </c>
      <c r="H237" s="43">
        <f>IFERROR(VLOOKUP(B237,'Ene - May'!$B$13:$G$256,6,0),0)-D237</f>
        <v>0</v>
      </c>
    </row>
    <row r="238" spans="1:8" ht="15.95" customHeight="1">
      <c r="A238" s="49"/>
      <c r="B238" s="42" t="s">
        <v>177</v>
      </c>
      <c r="C238" s="42" t="s">
        <v>92</v>
      </c>
      <c r="D238" s="43" t="s">
        <v>623</v>
      </c>
      <c r="E238" s="43" t="s">
        <v>601</v>
      </c>
      <c r="F238" s="43" t="s">
        <v>413</v>
      </c>
      <c r="G238" s="43" t="s">
        <v>618</v>
      </c>
      <c r="H238" s="43">
        <f>IFERROR(VLOOKUP(B238,'Ene - May'!$B$13:$G$256,6,0),0)-D238</f>
        <v>0</v>
      </c>
    </row>
    <row r="239" spans="1:8" ht="15" customHeight="1">
      <c r="A239" s="49"/>
      <c r="B239" s="42" t="s">
        <v>721</v>
      </c>
      <c r="C239" s="42" t="s">
        <v>535</v>
      </c>
      <c r="D239" s="43" t="s">
        <v>622</v>
      </c>
      <c r="E239" s="43" t="s">
        <v>621</v>
      </c>
      <c r="F239" s="43" t="s">
        <v>413</v>
      </c>
      <c r="G239" s="43" t="s">
        <v>620</v>
      </c>
      <c r="H239" s="43">
        <f>IFERROR(VLOOKUP(B239,'Ene - May'!$B$13:$G$256,6,0),0)-D239</f>
        <v>0</v>
      </c>
    </row>
    <row r="240" spans="1:8" ht="15" customHeight="1">
      <c r="A240" s="49"/>
      <c r="B240" s="42" t="s">
        <v>158</v>
      </c>
      <c r="C240" s="42" t="s">
        <v>93</v>
      </c>
      <c r="D240" s="43">
        <v>19420</v>
      </c>
      <c r="E240" s="43">
        <v>38552</v>
      </c>
      <c r="F240" s="43" t="s">
        <v>413</v>
      </c>
      <c r="G240" s="43">
        <v>57972</v>
      </c>
      <c r="H240" s="43">
        <f>IFERROR(VLOOKUP(B240,'Ene - May'!$B$13:$G$256,6,0),0)-D240</f>
        <v>0</v>
      </c>
    </row>
    <row r="241" spans="1:8" ht="15" customHeight="1">
      <c r="A241" s="49"/>
      <c r="B241" s="42" t="s">
        <v>586</v>
      </c>
      <c r="C241" s="42" t="s">
        <v>536</v>
      </c>
      <c r="D241" s="43">
        <v>1723</v>
      </c>
      <c r="E241" s="43">
        <v>4295</v>
      </c>
      <c r="F241" s="43" t="s">
        <v>413</v>
      </c>
      <c r="G241" s="43">
        <v>6018</v>
      </c>
      <c r="H241" s="43">
        <f>IFERROR(VLOOKUP(B241,'Ene - May'!$B$13:$G$256,6,0),0)-D241</f>
        <v>0</v>
      </c>
    </row>
    <row r="242" spans="1:8" ht="15" customHeight="1">
      <c r="A242" s="49"/>
      <c r="B242" s="42" t="s">
        <v>198</v>
      </c>
      <c r="C242" s="42" t="s">
        <v>94</v>
      </c>
      <c r="D242" s="43">
        <v>2213</v>
      </c>
      <c r="E242" s="43" t="s">
        <v>619</v>
      </c>
      <c r="F242" s="43" t="s">
        <v>413</v>
      </c>
      <c r="G242" s="43">
        <v>2200</v>
      </c>
      <c r="H242" s="43">
        <f>IFERROR(VLOOKUP(B242,'Ene - May'!$B$13:$G$256,6,0),0)-D242</f>
        <v>0</v>
      </c>
    </row>
    <row r="243" spans="1:8" ht="15.95" customHeight="1">
      <c r="A243" s="49"/>
      <c r="B243" s="42" t="s">
        <v>465</v>
      </c>
      <c r="C243" s="42" t="s">
        <v>466</v>
      </c>
      <c r="D243" s="43" t="s">
        <v>618</v>
      </c>
      <c r="E243" s="43">
        <v>1920</v>
      </c>
      <c r="F243" s="43" t="s">
        <v>413</v>
      </c>
      <c r="G243" s="43">
        <v>2827</v>
      </c>
      <c r="H243" s="43">
        <f>IFERROR(VLOOKUP(B243,'Ene - May'!$B$13:$G$256,6,0),0)-D243</f>
        <v>0</v>
      </c>
    </row>
    <row r="244" spans="1:8" ht="15" customHeight="1">
      <c r="A244" s="49"/>
      <c r="B244" s="42" t="s">
        <v>159</v>
      </c>
      <c r="C244" s="42" t="s">
        <v>95</v>
      </c>
      <c r="D244" s="43">
        <v>78014</v>
      </c>
      <c r="E244" s="43">
        <v>107843</v>
      </c>
      <c r="F244" s="43" t="s">
        <v>413</v>
      </c>
      <c r="G244" s="43">
        <v>185857</v>
      </c>
      <c r="H244" s="43">
        <f>IFERROR(VLOOKUP(B244,'Ene - May'!$B$13:$G$256,6,0),0)-D244</f>
        <v>0</v>
      </c>
    </row>
    <row r="245" spans="1:8" ht="15" customHeight="1">
      <c r="A245" s="49"/>
      <c r="B245" s="42" t="s">
        <v>178</v>
      </c>
      <c r="C245" s="42" t="s">
        <v>96</v>
      </c>
      <c r="D245" s="43">
        <v>62866</v>
      </c>
      <c r="E245" s="43">
        <v>83519</v>
      </c>
      <c r="F245" s="43" t="s">
        <v>413</v>
      </c>
      <c r="G245" s="43">
        <v>146385</v>
      </c>
      <c r="H245" s="43">
        <f>IFERROR(VLOOKUP(B245,'Ene - May'!$B$13:$G$256,6,0),0)-D245</f>
        <v>0</v>
      </c>
    </row>
    <row r="246" spans="1:8" ht="15.95" customHeight="1">
      <c r="A246" s="49"/>
      <c r="B246" s="42" t="s">
        <v>376</v>
      </c>
      <c r="C246" s="42" t="s">
        <v>369</v>
      </c>
      <c r="D246" s="43" t="s">
        <v>217</v>
      </c>
      <c r="E246" s="43" t="s">
        <v>617</v>
      </c>
      <c r="F246" s="43" t="s">
        <v>413</v>
      </c>
      <c r="G246" s="43" t="s">
        <v>602</v>
      </c>
      <c r="H246" s="43">
        <f>IFERROR(VLOOKUP(B246,'Ene - May'!$B$13:$G$256,6,0),0)-D246</f>
        <v>0</v>
      </c>
    </row>
    <row r="247" spans="1:8" ht="15" customHeight="1">
      <c r="A247" s="49"/>
      <c r="B247" s="42" t="s">
        <v>587</v>
      </c>
      <c r="C247" s="42" t="s">
        <v>97</v>
      </c>
      <c r="D247" s="43">
        <v>10403</v>
      </c>
      <c r="E247" s="43">
        <v>21299</v>
      </c>
      <c r="F247" s="43" t="s">
        <v>413</v>
      </c>
      <c r="G247" s="43">
        <v>31702</v>
      </c>
      <c r="H247" s="43">
        <f>IFERROR(VLOOKUP(B247,'Ene - May'!$B$13:$G$256,6,0),0)-D247</f>
        <v>0</v>
      </c>
    </row>
    <row r="248" spans="1:8" ht="15" customHeight="1">
      <c r="A248" s="49"/>
      <c r="B248" s="42" t="s">
        <v>588</v>
      </c>
      <c r="C248" s="42" t="s">
        <v>98</v>
      </c>
      <c r="D248" s="43">
        <v>4621</v>
      </c>
      <c r="E248" s="43">
        <v>2998</v>
      </c>
      <c r="F248" s="43" t="s">
        <v>413</v>
      </c>
      <c r="G248" s="43">
        <v>7619</v>
      </c>
      <c r="H248" s="43">
        <f>IFERROR(VLOOKUP(B248,'Ene - May'!$B$13:$G$256,6,0),0)-D248</f>
        <v>0</v>
      </c>
    </row>
    <row r="249" spans="1:8" ht="15" customHeight="1">
      <c r="A249" s="49"/>
      <c r="B249" s="42" t="s">
        <v>160</v>
      </c>
      <c r="C249" s="42" t="s">
        <v>99</v>
      </c>
      <c r="D249" s="43">
        <v>3123</v>
      </c>
      <c r="E249" s="43">
        <v>13495</v>
      </c>
      <c r="F249" s="43" t="s">
        <v>413</v>
      </c>
      <c r="G249" s="43">
        <v>16619</v>
      </c>
      <c r="H249" s="43">
        <f>IFERROR(VLOOKUP(B249,'Ene - May'!$B$13:$G$256,6,0),0)-D249</f>
        <v>0</v>
      </c>
    </row>
    <row r="250" spans="1:8" ht="15.95" customHeight="1">
      <c r="A250" s="49"/>
      <c r="B250" s="42" t="s">
        <v>179</v>
      </c>
      <c r="C250" s="42" t="s">
        <v>100</v>
      </c>
      <c r="D250" s="43">
        <v>1893</v>
      </c>
      <c r="E250" s="43">
        <v>1738</v>
      </c>
      <c r="F250" s="43" t="s">
        <v>413</v>
      </c>
      <c r="G250" s="43">
        <v>3630</v>
      </c>
      <c r="H250" s="43">
        <f>IFERROR(VLOOKUP(B250,'Ene - May'!$B$13:$G$256,6,0),0)-D250</f>
        <v>0</v>
      </c>
    </row>
    <row r="251" spans="1:8" ht="15" customHeight="1">
      <c r="A251" s="49"/>
      <c r="B251" s="42" t="s">
        <v>589</v>
      </c>
      <c r="C251" s="42" t="s">
        <v>537</v>
      </c>
      <c r="D251" s="43">
        <v>1231</v>
      </c>
      <c r="E251" s="43">
        <v>11758</v>
      </c>
      <c r="F251" s="43" t="s">
        <v>413</v>
      </c>
      <c r="G251" s="43">
        <v>12988</v>
      </c>
      <c r="H251" s="43">
        <f>IFERROR(VLOOKUP(B251,'Ene - May'!$B$13:$G$256,6,0),0)-D251</f>
        <v>0</v>
      </c>
    </row>
    <row r="252" spans="1:8" ht="15" customHeight="1">
      <c r="A252" s="49"/>
      <c r="B252" s="42" t="s">
        <v>161</v>
      </c>
      <c r="C252" s="42" t="s">
        <v>101</v>
      </c>
      <c r="D252" s="43" t="s">
        <v>616</v>
      </c>
      <c r="E252" s="43">
        <v>64617</v>
      </c>
      <c r="F252" s="43" t="s">
        <v>413</v>
      </c>
      <c r="G252" s="43">
        <v>64834</v>
      </c>
      <c r="H252" s="43">
        <f>IFERROR(VLOOKUP(B252,'Ene - May'!$B$13:$G$256,6,0),0)-D252</f>
        <v>0</v>
      </c>
    </row>
    <row r="253" spans="1:8" ht="15" customHeight="1">
      <c r="A253" s="49"/>
      <c r="B253" s="42" t="s">
        <v>590</v>
      </c>
      <c r="C253" s="42" t="s">
        <v>598</v>
      </c>
      <c r="D253" s="43" t="s">
        <v>413</v>
      </c>
      <c r="E253" s="43">
        <v>53000</v>
      </c>
      <c r="F253" s="43" t="s">
        <v>413</v>
      </c>
      <c r="G253" s="43">
        <v>53000</v>
      </c>
      <c r="H253" s="43">
        <f>IFERROR(VLOOKUP(B253,'Ene - May'!$B$13:$G$256,6,0),0)-D253</f>
        <v>0</v>
      </c>
    </row>
    <row r="254" spans="1:8" ht="15" customHeight="1">
      <c r="A254" s="49"/>
      <c r="B254" s="42" t="s">
        <v>162</v>
      </c>
      <c r="C254" s="42" t="s">
        <v>102</v>
      </c>
      <c r="D254" s="43" t="s">
        <v>615</v>
      </c>
      <c r="E254" s="43">
        <v>10534</v>
      </c>
      <c r="F254" s="43" t="s">
        <v>413</v>
      </c>
      <c r="G254" s="43">
        <v>10634</v>
      </c>
      <c r="H254" s="43">
        <f>IFERROR(VLOOKUP(B254,'Ene - May'!$B$13:$G$256,6,0),0)-D254</f>
        <v>0</v>
      </c>
    </row>
    <row r="255" spans="1:8" ht="15" customHeight="1">
      <c r="A255" s="49"/>
      <c r="B255" s="42" t="s">
        <v>163</v>
      </c>
      <c r="C255" s="42" t="s">
        <v>103</v>
      </c>
      <c r="D255" s="43" t="s">
        <v>614</v>
      </c>
      <c r="E255" s="43">
        <v>1082</v>
      </c>
      <c r="F255" s="43" t="s">
        <v>413</v>
      </c>
      <c r="G255" s="43">
        <v>1199</v>
      </c>
      <c r="H255" s="43">
        <f>IFERROR(VLOOKUP(B255,'Ene - May'!$B$13:$G$256,6,0),0)-D255</f>
        <v>0</v>
      </c>
    </row>
    <row r="256" spans="1:8" ht="15" customHeight="1">
      <c r="A256" s="49"/>
      <c r="B256" s="42" t="s">
        <v>164</v>
      </c>
      <c r="C256" s="42" t="s">
        <v>104</v>
      </c>
      <c r="D256" s="43">
        <v>4724</v>
      </c>
      <c r="E256" s="43">
        <v>13349</v>
      </c>
      <c r="F256" s="43" t="s">
        <v>146</v>
      </c>
      <c r="G256" s="43">
        <v>18068</v>
      </c>
      <c r="H256" s="43">
        <f>IFERROR(VLOOKUP(B256,'Ene - May'!$B$13:$G$256,6,0),0)-D256</f>
        <v>0</v>
      </c>
    </row>
    <row r="257" spans="1:8" ht="15.95" customHeight="1">
      <c r="A257" s="49"/>
      <c r="B257" s="42" t="s">
        <v>180</v>
      </c>
      <c r="C257" s="42" t="s">
        <v>105</v>
      </c>
      <c r="D257" s="43">
        <v>1793</v>
      </c>
      <c r="E257" s="43">
        <v>3184</v>
      </c>
      <c r="F257" s="43" t="s">
        <v>413</v>
      </c>
      <c r="G257" s="43">
        <v>4977</v>
      </c>
      <c r="H257" s="43">
        <f>IFERROR(VLOOKUP(B257,'Ene - May'!$B$13:$G$256,6,0),0)-D257</f>
        <v>0</v>
      </c>
    </row>
    <row r="258" spans="1:8" ht="15" customHeight="1">
      <c r="A258" s="49"/>
      <c r="B258" s="42" t="s">
        <v>181</v>
      </c>
      <c r="C258" s="42" t="s">
        <v>106</v>
      </c>
      <c r="D258" s="43">
        <v>2585</v>
      </c>
      <c r="E258" s="43">
        <v>7639</v>
      </c>
      <c r="F258" s="43" t="s">
        <v>413</v>
      </c>
      <c r="G258" s="43">
        <v>10223</v>
      </c>
      <c r="H258" s="43">
        <f>IFERROR(VLOOKUP(B258,'Ene - May'!$B$13:$G$256,6,0),0)-D258</f>
        <v>0</v>
      </c>
    </row>
    <row r="259" spans="1:8" ht="15" customHeight="1">
      <c r="A259" s="49"/>
      <c r="B259" s="42" t="s">
        <v>722</v>
      </c>
      <c r="C259" s="42" t="s">
        <v>107</v>
      </c>
      <c r="D259" s="43" t="s">
        <v>143</v>
      </c>
      <c r="E259" s="43">
        <v>1393</v>
      </c>
      <c r="F259" s="43" t="s">
        <v>413</v>
      </c>
      <c r="G259" s="43">
        <v>1394</v>
      </c>
      <c r="H259" s="43">
        <f>IFERROR(VLOOKUP(B259,'Ene - May'!$B$13:$G$256,6,0),0)-D259</f>
        <v>0</v>
      </c>
    </row>
    <row r="260" spans="1:8" ht="15.95" customHeight="1">
      <c r="A260" s="49"/>
      <c r="B260" s="42" t="s">
        <v>231</v>
      </c>
      <c r="C260" s="42" t="s">
        <v>227</v>
      </c>
      <c r="D260" s="43" t="s">
        <v>413</v>
      </c>
      <c r="E260" s="43" t="s">
        <v>613</v>
      </c>
      <c r="F260" s="43" t="s">
        <v>413</v>
      </c>
      <c r="G260" s="43" t="s">
        <v>613</v>
      </c>
      <c r="H260" s="43">
        <f>IFERROR(VLOOKUP(B260,'Ene - May'!$B$13:$G$256,6,0),0)-D260</f>
        <v>0</v>
      </c>
    </row>
    <row r="261" spans="1:8" ht="15" customHeight="1">
      <c r="A261" s="49"/>
      <c r="B261" s="42" t="s">
        <v>182</v>
      </c>
      <c r="C261" s="42" t="s">
        <v>108</v>
      </c>
      <c r="D261" s="43" t="s">
        <v>612</v>
      </c>
      <c r="E261" s="43" t="s">
        <v>413</v>
      </c>
      <c r="F261" s="43" t="s">
        <v>146</v>
      </c>
      <c r="G261" s="43" t="s">
        <v>611</v>
      </c>
      <c r="H261" s="43">
        <f>IFERROR(VLOOKUP(B261,'Ene - May'!$B$13:$G$256,6,0),0)-D261</f>
        <v>0</v>
      </c>
    </row>
    <row r="262" spans="1:8" ht="15" customHeight="1">
      <c r="A262" s="49"/>
      <c r="B262" s="42" t="s">
        <v>591</v>
      </c>
      <c r="C262" s="42" t="s">
        <v>538</v>
      </c>
      <c r="D262" s="43" t="s">
        <v>610</v>
      </c>
      <c r="E262" s="43">
        <v>1102</v>
      </c>
      <c r="F262" s="43" t="s">
        <v>413</v>
      </c>
      <c r="G262" s="43">
        <v>1371</v>
      </c>
      <c r="H262" s="43">
        <f>IFERROR(VLOOKUP(B262,'Ene - May'!$B$13:$G$256,6,0),0)-D262</f>
        <v>0</v>
      </c>
    </row>
    <row r="263" spans="1:8" ht="15" customHeight="1">
      <c r="A263" s="49"/>
      <c r="B263" s="42" t="s">
        <v>723</v>
      </c>
      <c r="C263" s="42" t="s">
        <v>539</v>
      </c>
      <c r="D263" s="43" t="s">
        <v>413</v>
      </c>
      <c r="E263" s="43" t="s">
        <v>413</v>
      </c>
      <c r="F263" s="43" t="s">
        <v>413</v>
      </c>
      <c r="G263" s="43" t="s">
        <v>413</v>
      </c>
      <c r="H263" s="43">
        <f>IFERROR(VLOOKUP(B263,'Ene - May'!$B$13:$G$256,6,0),0)-D263</f>
        <v>0</v>
      </c>
    </row>
    <row r="264" spans="1:8" ht="15" customHeight="1">
      <c r="A264" s="49"/>
      <c r="B264" s="42" t="s">
        <v>724</v>
      </c>
      <c r="C264" s="42" t="s">
        <v>26</v>
      </c>
      <c r="D264" s="43" t="s">
        <v>413</v>
      </c>
      <c r="E264" s="43" t="s">
        <v>413</v>
      </c>
      <c r="F264" s="43" t="s">
        <v>413</v>
      </c>
      <c r="G264" s="43" t="s">
        <v>413</v>
      </c>
      <c r="H264" s="43">
        <f>IFERROR(VLOOKUP(B264,'Ene - May'!$B$13:$G$256,6,0),0)-D264</f>
        <v>0</v>
      </c>
    </row>
    <row r="265" spans="1:8" ht="15.95" customHeight="1">
      <c r="A265" s="49"/>
      <c r="B265" s="42" t="s">
        <v>749</v>
      </c>
      <c r="C265" s="42" t="s">
        <v>25</v>
      </c>
      <c r="D265" s="43" t="s">
        <v>413</v>
      </c>
      <c r="E265" s="43" t="s">
        <v>413</v>
      </c>
      <c r="F265" s="43" t="s">
        <v>413</v>
      </c>
      <c r="G265" s="43" t="s">
        <v>413</v>
      </c>
      <c r="H265" s="43">
        <f>IFERROR(VLOOKUP(B265,'Ene - May'!$B$13:$G$256,6,0),0)-D265</f>
        <v>0</v>
      </c>
    </row>
    <row r="266" spans="1:8" ht="15" customHeight="1">
      <c r="A266" s="49"/>
      <c r="B266" s="42" t="s">
        <v>139</v>
      </c>
      <c r="C266" s="42" t="s">
        <v>228</v>
      </c>
      <c r="D266" s="43">
        <v>1100</v>
      </c>
      <c r="E266" s="43">
        <v>3535</v>
      </c>
      <c r="F266" s="43">
        <v>1494</v>
      </c>
      <c r="G266" s="43">
        <v>3141</v>
      </c>
      <c r="H266" s="43">
        <f>IFERROR(VLOOKUP(B266,'Ene - May'!$B$13:$G$256,6,0),0)-D266</f>
        <v>0</v>
      </c>
    </row>
    <row r="267" spans="1:8" ht="15" customHeight="1">
      <c r="A267" s="49"/>
      <c r="B267" s="42" t="s">
        <v>232</v>
      </c>
      <c r="C267" s="42" t="s">
        <v>29</v>
      </c>
      <c r="D267" s="43" t="s">
        <v>609</v>
      </c>
      <c r="E267" s="43">
        <v>1832</v>
      </c>
      <c r="F267" s="43">
        <v>1494</v>
      </c>
      <c r="G267" s="43" t="s">
        <v>608</v>
      </c>
      <c r="H267" s="43">
        <f>IFERROR(VLOOKUP(B267,'Ene - May'!$B$13:$G$256,6,0),0)-D267</f>
        <v>0</v>
      </c>
    </row>
    <row r="268" spans="1:8" ht="15" customHeight="1">
      <c r="A268" s="49"/>
      <c r="B268" s="42" t="s">
        <v>592</v>
      </c>
      <c r="C268" s="42" t="s">
        <v>24</v>
      </c>
      <c r="D268" s="43" t="s">
        <v>150</v>
      </c>
      <c r="E268" s="43" t="s">
        <v>607</v>
      </c>
      <c r="F268" s="43" t="s">
        <v>413</v>
      </c>
      <c r="G268" s="43" t="s">
        <v>606</v>
      </c>
      <c r="H268" s="43">
        <f>IFERROR(VLOOKUP(B268,'Ene - May'!$B$13:$G$256,6,0),0)-D268</f>
        <v>0</v>
      </c>
    </row>
    <row r="269" spans="1:8" ht="15.95" customHeight="1">
      <c r="A269" s="49"/>
      <c r="B269" s="42" t="s">
        <v>233</v>
      </c>
      <c r="C269" s="42" t="s">
        <v>26</v>
      </c>
      <c r="D269" s="43" t="s">
        <v>605</v>
      </c>
      <c r="E269" s="43">
        <v>1615</v>
      </c>
      <c r="F269" s="43" t="s">
        <v>413</v>
      </c>
      <c r="G269" s="43">
        <v>2039</v>
      </c>
      <c r="H269" s="43">
        <f>IFERROR(VLOOKUP(B269,'Ene - May'!$B$13:$G$256,6,0),0)-D269</f>
        <v>0</v>
      </c>
    </row>
    <row r="270" spans="1:8" ht="15" customHeight="1">
      <c r="A270" s="49"/>
      <c r="B270" s="42" t="s">
        <v>256</v>
      </c>
      <c r="C270" s="42" t="s">
        <v>772</v>
      </c>
      <c r="D270" s="43" t="s">
        <v>413</v>
      </c>
      <c r="E270" s="43">
        <v>25149</v>
      </c>
      <c r="F270" s="43" t="s">
        <v>413</v>
      </c>
      <c r="G270" s="43">
        <v>25149</v>
      </c>
      <c r="H270" s="43">
        <f>IFERROR(VLOOKUP(B270,'Ene - May'!$B$13:$G$256,6,0),0)-D270</f>
        <v>0</v>
      </c>
    </row>
    <row r="271" spans="1:8" ht="15.95" customHeight="1">
      <c r="A271" s="49"/>
      <c r="B271" s="42" t="s">
        <v>397</v>
      </c>
      <c r="C271" s="42" t="s">
        <v>773</v>
      </c>
      <c r="D271" s="43" t="s">
        <v>413</v>
      </c>
      <c r="E271" s="43">
        <v>25149</v>
      </c>
      <c r="F271" s="43" t="s">
        <v>413</v>
      </c>
      <c r="G271" s="43">
        <v>25149</v>
      </c>
      <c r="H271" s="43">
        <f>IFERROR(VLOOKUP(B271,'Ene - May'!$B$13:$G$256,6,0),0)-D271</f>
        <v>0</v>
      </c>
    </row>
    <row r="272" spans="1:8" ht="15" customHeight="1">
      <c r="A272" s="49"/>
      <c r="B272" s="42" t="s">
        <v>750</v>
      </c>
      <c r="C272" s="42" t="s">
        <v>774</v>
      </c>
      <c r="D272" s="43" t="s">
        <v>413</v>
      </c>
      <c r="E272" s="43">
        <v>25149</v>
      </c>
      <c r="F272" s="43" t="s">
        <v>413</v>
      </c>
      <c r="G272" s="43">
        <v>25149</v>
      </c>
      <c r="H272" s="43">
        <f>IFERROR(VLOOKUP(B272,'Ene - May'!$B$13:$G$256,6,0),0)-D272</f>
        <v>0</v>
      </c>
    </row>
    <row r="273" spans="1:8" ht="15" customHeight="1">
      <c r="A273" s="49"/>
      <c r="B273" s="42" t="s">
        <v>165</v>
      </c>
      <c r="C273" s="42" t="s">
        <v>109</v>
      </c>
      <c r="D273" s="43">
        <v>2721463</v>
      </c>
      <c r="E273" s="43">
        <v>2766042</v>
      </c>
      <c r="F273" s="43" t="s">
        <v>604</v>
      </c>
      <c r="G273" s="43">
        <v>5487152</v>
      </c>
      <c r="H273" s="43">
        <f>IFERROR(VLOOKUP(B273,'Ene - May'!$B$13:$G$256,6,0),0)-D273</f>
        <v>0</v>
      </c>
    </row>
    <row r="274" spans="1:8" ht="15" customHeight="1">
      <c r="A274" s="49"/>
      <c r="B274" s="42" t="s">
        <v>135</v>
      </c>
      <c r="C274" s="42" t="s">
        <v>46</v>
      </c>
      <c r="D274" s="43">
        <v>2721463</v>
      </c>
      <c r="E274" s="43">
        <v>2766042</v>
      </c>
      <c r="F274" s="43" t="s">
        <v>604</v>
      </c>
      <c r="G274" s="43">
        <v>5487152</v>
      </c>
      <c r="H274" s="43">
        <f>IFERROR(VLOOKUP(B274,'Ene - May'!$B$13:$G$256,6,0),0)-D274</f>
        <v>0</v>
      </c>
    </row>
    <row r="275" spans="1:8" ht="15" customHeight="1">
      <c r="A275" s="49"/>
      <c r="B275" s="42" t="s">
        <v>467</v>
      </c>
      <c r="C275" s="42" t="s">
        <v>468</v>
      </c>
      <c r="D275" s="43">
        <v>408725</v>
      </c>
      <c r="E275" s="43">
        <v>556074</v>
      </c>
      <c r="F275" s="43" t="s">
        <v>413</v>
      </c>
      <c r="G275" s="43">
        <v>964800</v>
      </c>
      <c r="H275" s="43">
        <f>IFERROR(VLOOKUP(B275,'Ene - May'!$B$13:$G$256,6,0),0)-D275</f>
        <v>0</v>
      </c>
    </row>
    <row r="276" spans="1:8" ht="15" customHeight="1">
      <c r="A276" s="49"/>
      <c r="B276" s="42" t="s">
        <v>725</v>
      </c>
      <c r="C276" s="42" t="s">
        <v>540</v>
      </c>
      <c r="D276" s="43">
        <v>408725</v>
      </c>
      <c r="E276" s="43">
        <v>556074</v>
      </c>
      <c r="F276" s="43" t="s">
        <v>413</v>
      </c>
      <c r="G276" s="43">
        <v>964800</v>
      </c>
      <c r="H276" s="43">
        <f>IFERROR(VLOOKUP(B276,'Ene - May'!$B$13:$G$256,6,0),0)-D276</f>
        <v>0</v>
      </c>
    </row>
    <row r="277" spans="1:8" ht="15" customHeight="1">
      <c r="A277" s="49"/>
      <c r="B277" s="42" t="s">
        <v>257</v>
      </c>
      <c r="C277" s="42" t="s">
        <v>469</v>
      </c>
      <c r="D277" s="43">
        <v>2310849</v>
      </c>
      <c r="E277" s="43">
        <v>2209968</v>
      </c>
      <c r="F277" s="43" t="s">
        <v>604</v>
      </c>
      <c r="G277" s="43">
        <v>4520464</v>
      </c>
      <c r="H277" s="43">
        <f>IFERROR(VLOOKUP(B277,'Ene - May'!$B$13:$G$256,6,0),0)-D277</f>
        <v>0</v>
      </c>
    </row>
    <row r="278" spans="1:8" ht="15.95" customHeight="1">
      <c r="A278" s="49"/>
      <c r="B278" s="42" t="s">
        <v>726</v>
      </c>
      <c r="C278" s="42" t="s">
        <v>498</v>
      </c>
      <c r="D278" s="43">
        <v>2123300</v>
      </c>
      <c r="E278" s="43">
        <v>841236</v>
      </c>
      <c r="F278" s="43" t="s">
        <v>604</v>
      </c>
      <c r="G278" s="43">
        <v>2964183</v>
      </c>
      <c r="H278" s="43">
        <f>IFERROR(VLOOKUP(B278,'Ene - May'!$B$13:$G$256,6,0),0)-D278</f>
        <v>0</v>
      </c>
    </row>
    <row r="279" spans="1:8" ht="15" customHeight="1">
      <c r="A279" s="49"/>
      <c r="B279" s="42" t="s">
        <v>727</v>
      </c>
      <c r="C279" s="42" t="s">
        <v>775</v>
      </c>
      <c r="D279" s="43">
        <v>22342</v>
      </c>
      <c r="E279" s="43">
        <v>105985</v>
      </c>
      <c r="F279" s="43" t="s">
        <v>413</v>
      </c>
      <c r="G279" s="43">
        <v>128326</v>
      </c>
      <c r="H279" s="43">
        <f>IFERROR(VLOOKUP(B279,'Ene - May'!$B$13:$G$256,6,0),0)-D279</f>
        <v>0</v>
      </c>
    </row>
    <row r="280" spans="1:8" ht="15" customHeight="1">
      <c r="A280" s="49"/>
      <c r="B280" s="42" t="s">
        <v>751</v>
      </c>
      <c r="C280" s="42" t="s">
        <v>760</v>
      </c>
      <c r="D280" s="43" t="s">
        <v>413</v>
      </c>
      <c r="E280" s="43">
        <v>47640</v>
      </c>
      <c r="F280" s="43" t="s">
        <v>413</v>
      </c>
      <c r="G280" s="43">
        <v>47640</v>
      </c>
      <c r="H280" s="43">
        <f>IFERROR(VLOOKUP(B280,'Ene - May'!$B$13:$G$256,6,0),0)-D280</f>
        <v>0</v>
      </c>
    </row>
    <row r="281" spans="1:8" ht="15" customHeight="1">
      <c r="A281" s="49"/>
      <c r="B281" s="42" t="s">
        <v>728</v>
      </c>
      <c r="C281" s="42" t="s">
        <v>501</v>
      </c>
      <c r="D281" s="43">
        <v>6118</v>
      </c>
      <c r="E281" s="43">
        <v>172118</v>
      </c>
      <c r="F281" s="43" t="s">
        <v>413</v>
      </c>
      <c r="G281" s="43">
        <v>178235</v>
      </c>
      <c r="H281" s="43">
        <f>IFERROR(VLOOKUP(B281,'Ene - May'!$B$13:$G$256,6,0),0)-D281</f>
        <v>0</v>
      </c>
    </row>
    <row r="282" spans="1:8" ht="15.95" customHeight="1">
      <c r="A282" s="49"/>
      <c r="B282" s="42" t="s">
        <v>729</v>
      </c>
      <c r="C282" s="42" t="s">
        <v>542</v>
      </c>
      <c r="D282" s="43">
        <v>135051</v>
      </c>
      <c r="E282" s="43">
        <v>927074</v>
      </c>
      <c r="F282" s="43" t="s">
        <v>413</v>
      </c>
      <c r="G282" s="43">
        <v>1062125</v>
      </c>
      <c r="H282" s="43">
        <f>IFERROR(VLOOKUP(B282,'Ene - May'!$B$13:$G$256,6,0),0)-D282</f>
        <v>0</v>
      </c>
    </row>
    <row r="283" spans="1:8" ht="15.95" customHeight="1">
      <c r="A283" s="49"/>
      <c r="B283" s="42" t="s">
        <v>730</v>
      </c>
      <c r="C283" s="42" t="s">
        <v>756</v>
      </c>
      <c r="D283" s="43">
        <v>24039</v>
      </c>
      <c r="E283" s="43">
        <v>115915</v>
      </c>
      <c r="F283" s="43" t="s">
        <v>413</v>
      </c>
      <c r="G283" s="43">
        <v>139955</v>
      </c>
      <c r="H283" s="43">
        <f>IFERROR(VLOOKUP(B283,'Ene - May'!$B$13:$G$256,6,0),0)-D283</f>
        <v>0</v>
      </c>
    </row>
    <row r="284" spans="1:8" ht="15" customHeight="1">
      <c r="A284" s="49"/>
      <c r="B284" s="42" t="s">
        <v>731</v>
      </c>
      <c r="C284" s="42" t="s">
        <v>776</v>
      </c>
      <c r="D284" s="43">
        <v>1888</v>
      </c>
      <c r="E284" s="43" t="s">
        <v>413</v>
      </c>
      <c r="F284" s="43" t="s">
        <v>413</v>
      </c>
      <c r="G284" s="43">
        <v>1888</v>
      </c>
      <c r="H284" s="43">
        <f>IFERROR(VLOOKUP(B284,'Ene - May'!$B$13:$G$256,6,0),0)-D284</f>
        <v>0</v>
      </c>
    </row>
    <row r="285" spans="1:8" ht="27">
      <c r="A285" s="49"/>
      <c r="B285" s="42" t="s">
        <v>732</v>
      </c>
      <c r="C285" s="42" t="s">
        <v>777</v>
      </c>
      <c r="D285" s="43">
        <v>1888</v>
      </c>
      <c r="E285" s="43" t="s">
        <v>413</v>
      </c>
      <c r="F285" s="43" t="s">
        <v>413</v>
      </c>
      <c r="G285" s="43">
        <v>1888</v>
      </c>
      <c r="H285" s="43">
        <f>IFERROR(VLOOKUP(B285,'Ene - May'!$B$13:$G$256,6,0),0)-D285</f>
        <v>0</v>
      </c>
    </row>
    <row r="286" spans="1:8">
      <c r="B286" s="42" t="s">
        <v>168</v>
      </c>
      <c r="C286" s="42" t="s">
        <v>110</v>
      </c>
      <c r="D286" s="43" t="s">
        <v>413</v>
      </c>
      <c r="E286" s="43">
        <v>103797</v>
      </c>
      <c r="F286" s="43" t="s">
        <v>413</v>
      </c>
      <c r="G286" s="43">
        <v>103797</v>
      </c>
      <c r="H286" s="43">
        <f>IFERROR(VLOOKUP(B286,'Ene - May'!$B$13:$G$256,6,0),0)-D286</f>
        <v>0</v>
      </c>
    </row>
    <row r="287" spans="1:8" ht="27">
      <c r="B287" s="42" t="s">
        <v>169</v>
      </c>
      <c r="C287" s="42" t="s">
        <v>111</v>
      </c>
      <c r="D287" s="43" t="s">
        <v>413</v>
      </c>
      <c r="E287" s="43">
        <v>103797</v>
      </c>
      <c r="F287" s="43" t="s">
        <v>413</v>
      </c>
      <c r="G287" s="43">
        <v>103797</v>
      </c>
      <c r="H287" s="43">
        <f>IFERROR(VLOOKUP(B287,'Ene - May'!$B$13:$G$256,6,0),0)-D287</f>
        <v>0</v>
      </c>
    </row>
    <row r="288" spans="1:8">
      <c r="B288" s="42" t="s">
        <v>752</v>
      </c>
      <c r="C288" s="42" t="s">
        <v>778</v>
      </c>
      <c r="D288" s="43" t="s">
        <v>413</v>
      </c>
      <c r="E288" s="43">
        <v>74629</v>
      </c>
      <c r="F288" s="43" t="s">
        <v>413</v>
      </c>
      <c r="G288" s="43">
        <v>74629</v>
      </c>
      <c r="H288" s="43">
        <f>IFERROR(VLOOKUP(B288,'Ene - May'!$B$13:$G$256,6,0),0)-D288</f>
        <v>0</v>
      </c>
    </row>
    <row r="289" spans="2:8">
      <c r="B289" s="42" t="s">
        <v>753</v>
      </c>
      <c r="C289" s="42" t="s">
        <v>779</v>
      </c>
      <c r="D289" s="43" t="s">
        <v>413</v>
      </c>
      <c r="E289" s="43">
        <v>29167</v>
      </c>
      <c r="F289" s="43" t="s">
        <v>413</v>
      </c>
      <c r="G289" s="43">
        <v>29167</v>
      </c>
      <c r="H289" s="43">
        <f>IFERROR(VLOOKUP(B289,'Ene - May'!$B$13:$G$256,6,0),0)-D289</f>
        <v>0</v>
      </c>
    </row>
    <row r="290" spans="2:8">
      <c r="B290" s="48" t="s">
        <v>119</v>
      </c>
      <c r="C290" s="44" t="s">
        <v>408</v>
      </c>
      <c r="D290" s="45" t="s">
        <v>413</v>
      </c>
      <c r="E290" s="45">
        <v>53431934</v>
      </c>
      <c r="F290" s="45">
        <v>53431934</v>
      </c>
      <c r="G290" s="45" t="s">
        <v>413</v>
      </c>
      <c r="H290" s="43">
        <f>IFERROR(VLOOKUP(B290,'Ene - May'!$B$13:$G$256,6,0),0)-D290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00B050"/>
    <pageSetUpPr fitToPage="1"/>
  </sheetPr>
  <dimension ref="B1:AG96"/>
  <sheetViews>
    <sheetView showGridLines="0" zoomScale="80" zoomScaleNormal="80" workbookViewId="0">
      <pane ySplit="10" topLeftCell="A41" activePane="bottomLeft" state="frozen"/>
      <selection pane="bottomLeft" activeCell="R1" sqref="B1:R1048576"/>
    </sheetView>
  </sheetViews>
  <sheetFormatPr baseColWidth="10" defaultRowHeight="14.25"/>
  <cols>
    <col min="1" max="1" width="6.5703125" style="89" customWidth="1"/>
    <col min="2" max="2" width="7.140625" style="94" hidden="1" customWidth="1"/>
    <col min="3" max="4" width="7.42578125" style="94" hidden="1" customWidth="1"/>
    <col min="5" max="5" width="7.140625" style="94" hidden="1" customWidth="1"/>
    <col min="6" max="6" width="7.42578125" style="94" hidden="1" customWidth="1"/>
    <col min="7" max="18" width="7.140625" style="94" hidden="1" customWidth="1"/>
    <col min="19" max="19" width="51.7109375" style="89" bestFit="1" customWidth="1"/>
    <col min="20" max="20" width="73.7109375" style="90" customWidth="1"/>
    <col min="21" max="21" width="12.7109375" style="165" bestFit="1" customWidth="1"/>
    <col min="22" max="22" width="16.5703125" style="165" bestFit="1" customWidth="1"/>
    <col min="23" max="23" width="19.42578125" style="165" bestFit="1" customWidth="1"/>
    <col min="24" max="25" width="17.28515625" style="165" bestFit="1" customWidth="1"/>
    <col min="26" max="26" width="3" style="89" customWidth="1"/>
    <col min="27" max="27" width="49.85546875" style="89" customWidth="1"/>
    <col min="28" max="16384" width="11.42578125" style="89"/>
  </cols>
  <sheetData>
    <row r="1" spans="2:33" ht="15">
      <c r="S1" s="84"/>
      <c r="T1" s="88"/>
      <c r="AA1" s="356" t="s">
        <v>269</v>
      </c>
      <c r="AB1" s="357" t="s">
        <v>1436</v>
      </c>
      <c r="AC1" s="353"/>
      <c r="AD1"/>
    </row>
    <row r="2" spans="2:33" ht="15">
      <c r="S2" s="355" t="s">
        <v>6</v>
      </c>
      <c r="T2" s="355"/>
      <c r="AA2" s="356"/>
      <c r="AB2" s="357"/>
      <c r="AC2" s="353"/>
      <c r="AD2"/>
    </row>
    <row r="3" spans="2:33">
      <c r="S3" s="355"/>
      <c r="T3" s="355"/>
      <c r="AA3" s="353"/>
      <c r="AB3" s="354" t="s">
        <v>6</v>
      </c>
      <c r="AC3" s="354"/>
      <c r="AD3" s="353"/>
    </row>
    <row r="4" spans="2:33">
      <c r="S4" s="84"/>
      <c r="T4" s="88"/>
      <c r="AA4" s="353"/>
      <c r="AB4" s="354"/>
      <c r="AC4" s="354"/>
      <c r="AD4" s="353"/>
    </row>
    <row r="5" spans="2:33">
      <c r="S5" s="113" t="s">
        <v>1</v>
      </c>
      <c r="T5" s="88"/>
      <c r="AA5" s="353"/>
      <c r="AB5" s="354" t="s">
        <v>1442</v>
      </c>
      <c r="AC5" s="354"/>
      <c r="AD5" s="353"/>
    </row>
    <row r="6" spans="2:33">
      <c r="S6" s="84"/>
      <c r="T6" s="88"/>
      <c r="AA6" s="353"/>
      <c r="AB6" s="354"/>
      <c r="AC6" s="354"/>
      <c r="AD6" s="353"/>
    </row>
    <row r="7" spans="2:33">
      <c r="S7" s="84"/>
      <c r="T7" s="88"/>
      <c r="AA7" s="353"/>
      <c r="AB7" s="354" t="s">
        <v>1443</v>
      </c>
      <c r="AC7" s="354"/>
      <c r="AD7" s="353"/>
    </row>
    <row r="8" spans="2:33" ht="15" thickBot="1">
      <c r="AA8" s="353"/>
      <c r="AB8" s="354"/>
      <c r="AC8" s="354"/>
      <c r="AD8" s="353"/>
    </row>
    <row r="9" spans="2:33" ht="15" thickBot="1">
      <c r="S9" s="117" t="s">
        <v>2</v>
      </c>
      <c r="T9" s="208" t="s">
        <v>199</v>
      </c>
      <c r="U9" s="209"/>
      <c r="V9" s="209"/>
      <c r="W9" s="209"/>
      <c r="X9" s="209"/>
      <c r="Y9" s="210"/>
      <c r="AA9" s="362" t="s">
        <v>2</v>
      </c>
      <c r="AB9" s="358" t="s">
        <v>1367</v>
      </c>
      <c r="AC9" s="358"/>
      <c r="AD9" s="359"/>
      <c r="AE9" s="358" t="s">
        <v>1367</v>
      </c>
      <c r="AF9" s="358"/>
      <c r="AG9" s="359"/>
    </row>
    <row r="10" spans="2:33" ht="15" thickBot="1">
      <c r="S10" s="211"/>
      <c r="T10" s="87"/>
      <c r="U10" s="175" t="s">
        <v>1441</v>
      </c>
      <c r="V10" s="176" t="s">
        <v>113</v>
      </c>
      <c r="W10" s="175" t="s">
        <v>187</v>
      </c>
      <c r="X10" s="175" t="s">
        <v>119</v>
      </c>
      <c r="Y10" s="212" t="s">
        <v>118</v>
      </c>
      <c r="AA10" s="363"/>
      <c r="AB10" s="360">
        <v>43465</v>
      </c>
      <c r="AC10" s="360"/>
      <c r="AD10" s="361"/>
      <c r="AE10" s="360">
        <v>43100</v>
      </c>
      <c r="AF10" s="360"/>
      <c r="AG10" s="361"/>
    </row>
    <row r="11" spans="2:33" ht="15" thickBot="1"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7"/>
      <c r="R11" s="207"/>
      <c r="S11" s="126" t="s">
        <v>851</v>
      </c>
      <c r="T11" s="155"/>
      <c r="U11" s="166"/>
      <c r="V11" s="166"/>
      <c r="W11" s="166"/>
      <c r="X11" s="166"/>
      <c r="Y11" s="200"/>
      <c r="Z11" s="92"/>
      <c r="AA11" s="275" t="s">
        <v>851</v>
      </c>
      <c r="AB11" s="277"/>
      <c r="AC11" s="277"/>
      <c r="AD11" s="263"/>
      <c r="AE11" s="277"/>
      <c r="AF11" s="277"/>
      <c r="AG11" s="263"/>
    </row>
    <row r="12" spans="2:33" ht="15" thickBot="1"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7"/>
      <c r="R12" s="207"/>
      <c r="S12" s="128" t="s">
        <v>200</v>
      </c>
      <c r="T12" s="135"/>
      <c r="U12" s="201">
        <f>AD12</f>
        <v>0</v>
      </c>
      <c r="V12" s="201">
        <f>V13+V17+V24+V25</f>
        <v>0</v>
      </c>
      <c r="W12" s="201">
        <f t="shared" ref="W12" si="0">W13+W17+W24+W25</f>
        <v>0</v>
      </c>
      <c r="X12" s="201">
        <f>V12+W12</f>
        <v>0</v>
      </c>
      <c r="Y12" s="202">
        <f>U12-X12</f>
        <v>0</v>
      </c>
      <c r="AA12" s="252" t="s">
        <v>1368</v>
      </c>
      <c r="AB12" s="265"/>
      <c r="AC12" s="265"/>
      <c r="AD12" s="256"/>
      <c r="AE12" s="265"/>
      <c r="AF12" s="265"/>
      <c r="AG12" s="256"/>
    </row>
    <row r="13" spans="2:33" ht="15" thickBot="1"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7"/>
      <c r="R13" s="207"/>
      <c r="S13" s="130" t="s">
        <v>201</v>
      </c>
      <c r="T13" s="103"/>
      <c r="U13" s="186">
        <f>AC13</f>
        <v>0</v>
      </c>
      <c r="V13" s="186">
        <f>SUM(V14:V16)</f>
        <v>0</v>
      </c>
      <c r="W13" s="186">
        <f t="shared" ref="W13" si="1">SUM(W14:W16)</f>
        <v>0</v>
      </c>
      <c r="X13" s="186">
        <f t="shared" ref="X13:X58" si="2">V13+W13</f>
        <v>0</v>
      </c>
      <c r="Y13" s="164">
        <f t="shared" ref="Y13:Y58" si="3">U13-X13</f>
        <v>0</v>
      </c>
      <c r="AA13" s="253" t="s">
        <v>1369</v>
      </c>
      <c r="AB13" s="266"/>
      <c r="AC13" s="266"/>
      <c r="AD13" s="257"/>
      <c r="AE13" s="266"/>
      <c r="AF13" s="266"/>
      <c r="AG13" s="257"/>
    </row>
    <row r="14" spans="2:33" ht="15" thickBot="1">
      <c r="B14" s="206" t="s">
        <v>147</v>
      </c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7"/>
      <c r="R14" s="207"/>
      <c r="S14" s="156" t="s">
        <v>11</v>
      </c>
      <c r="T14" s="93" t="s">
        <v>147</v>
      </c>
      <c r="U14" s="169">
        <f>AB14</f>
        <v>0</v>
      </c>
      <c r="V14" s="169">
        <f>IFERROR(VLOOKUP(B14,'Balance Ag'!$B$7:$G$1000,6,0),0)</f>
        <v>0</v>
      </c>
      <c r="W14" s="169"/>
      <c r="X14" s="169">
        <f t="shared" si="2"/>
        <v>0</v>
      </c>
      <c r="Y14" s="172">
        <f t="shared" si="3"/>
        <v>0</v>
      </c>
      <c r="AA14" s="253" t="s">
        <v>1370</v>
      </c>
      <c r="AB14" s="266"/>
      <c r="AC14" s="266"/>
      <c r="AD14" s="257"/>
      <c r="AE14" s="266"/>
      <c r="AF14" s="266"/>
      <c r="AG14" s="257"/>
    </row>
    <row r="15" spans="2:33" ht="15" thickBot="1">
      <c r="B15" s="206" t="s">
        <v>215</v>
      </c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7"/>
      <c r="R15" s="207"/>
      <c r="S15" s="156" t="s">
        <v>852</v>
      </c>
      <c r="T15" s="93" t="s">
        <v>215</v>
      </c>
      <c r="U15" s="169">
        <f>AB15</f>
        <v>0</v>
      </c>
      <c r="V15" s="169">
        <f>IFERROR(VLOOKUP(B15,'Balance Ag'!$B$7:$G$1000,6,0),0)</f>
        <v>0</v>
      </c>
      <c r="W15" s="169"/>
      <c r="X15" s="169">
        <f t="shared" si="2"/>
        <v>0</v>
      </c>
      <c r="Y15" s="172">
        <f t="shared" si="3"/>
        <v>0</v>
      </c>
      <c r="AA15" s="253" t="s">
        <v>1371</v>
      </c>
      <c r="AB15" s="266"/>
      <c r="AC15" s="266"/>
      <c r="AD15" s="257"/>
      <c r="AE15" s="266"/>
      <c r="AF15" s="266"/>
      <c r="AG15" s="257"/>
    </row>
    <row r="16" spans="2:33" ht="15" thickBot="1">
      <c r="B16" s="206" t="s">
        <v>277</v>
      </c>
      <c r="C16" s="206" t="s">
        <v>279</v>
      </c>
      <c r="D16" s="206" t="s">
        <v>170</v>
      </c>
      <c r="E16" s="206" t="s">
        <v>1035</v>
      </c>
      <c r="F16" s="206" t="s">
        <v>1036</v>
      </c>
      <c r="G16" s="206" t="s">
        <v>282</v>
      </c>
      <c r="H16" s="206"/>
      <c r="I16" s="206"/>
      <c r="J16" s="206"/>
      <c r="K16" s="206"/>
      <c r="L16" s="206"/>
      <c r="M16" s="206"/>
      <c r="N16" s="206"/>
      <c r="O16" s="206"/>
      <c r="P16" s="206"/>
      <c r="Q16" s="207"/>
      <c r="R16" s="207"/>
      <c r="S16" s="156" t="s">
        <v>853</v>
      </c>
      <c r="T16" s="93" t="s">
        <v>850</v>
      </c>
      <c r="U16" s="169">
        <f>AB16</f>
        <v>0</v>
      </c>
      <c r="V16" s="169">
        <f>IFERROR(VLOOKUP(B16,'Balance Ag'!$B$7:$G$1000,6,0),0)-IFERROR(VLOOKUP(C16,'Balance Ag'!$B$7:$G$1000,6,0),0)-IFERROR(VLOOKUP(D16,'Balance Ag'!$B$7:$G$1000,6,0),0)-IFERROR(VLOOKUP(E16,'Balance Ag'!$B$7:$G$1000,6,0),0)-IFERROR(VLOOKUP(F16,'Balance Ag'!$B$7:$G$1000,6,0),0)+IFERROR(VLOOKUP(G16,'Balance Ag'!$B$7:$G$1000,6,0),0)</f>
        <v>0</v>
      </c>
      <c r="W16" s="169"/>
      <c r="X16" s="169">
        <f t="shared" si="2"/>
        <v>0</v>
      </c>
      <c r="Y16" s="172">
        <f t="shared" si="3"/>
        <v>0</v>
      </c>
      <c r="AA16" s="253" t="s">
        <v>1372</v>
      </c>
      <c r="AB16" s="266"/>
      <c r="AC16" s="266"/>
      <c r="AD16" s="257"/>
      <c r="AE16" s="266"/>
      <c r="AF16" s="266"/>
      <c r="AG16" s="257"/>
    </row>
    <row r="17" spans="2:33" ht="15" thickBot="1"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7"/>
      <c r="R17" s="207"/>
      <c r="S17" s="130" t="s">
        <v>202</v>
      </c>
      <c r="T17" s="103"/>
      <c r="U17" s="186">
        <f>AC17</f>
        <v>0</v>
      </c>
      <c r="V17" s="186">
        <f>SUM(V18:V23)</f>
        <v>0</v>
      </c>
      <c r="W17" s="186">
        <f t="shared" ref="W17" si="4">SUM(W18:W23)</f>
        <v>0</v>
      </c>
      <c r="X17" s="186">
        <f t="shared" si="2"/>
        <v>0</v>
      </c>
      <c r="Y17" s="164">
        <f t="shared" si="3"/>
        <v>0</v>
      </c>
      <c r="AA17" s="253" t="s">
        <v>1373</v>
      </c>
      <c r="AB17" s="266"/>
      <c r="AC17" s="266"/>
      <c r="AD17" s="257"/>
      <c r="AE17" s="266"/>
      <c r="AF17" s="266"/>
      <c r="AG17" s="257"/>
    </row>
    <row r="18" spans="2:33" ht="15" thickBot="1">
      <c r="B18" s="206" t="s">
        <v>343</v>
      </c>
      <c r="C18" s="206" t="s">
        <v>834</v>
      </c>
      <c r="D18" s="206" t="s">
        <v>1037</v>
      </c>
      <c r="E18" s="206" t="s">
        <v>1038</v>
      </c>
      <c r="F18" s="206" t="s">
        <v>1039</v>
      </c>
      <c r="G18" s="206" t="s">
        <v>1040</v>
      </c>
      <c r="H18" s="206" t="s">
        <v>1041</v>
      </c>
      <c r="I18" s="206" t="s">
        <v>1042</v>
      </c>
      <c r="J18" s="206"/>
      <c r="K18" s="206"/>
      <c r="L18" s="206"/>
      <c r="M18" s="206"/>
      <c r="N18" s="206"/>
      <c r="O18" s="206"/>
      <c r="P18" s="206"/>
      <c r="Q18" s="207"/>
      <c r="R18" s="207"/>
      <c r="S18" s="156" t="s">
        <v>204</v>
      </c>
      <c r="T18" s="93" t="s">
        <v>1043</v>
      </c>
      <c r="U18" s="169">
        <f t="shared" ref="U18:U23" si="5">AB18</f>
        <v>0</v>
      </c>
      <c r="V18" s="169">
        <f>IFERROR(VLOOKUP(B18,'Balance Ag'!$B$7:$G$1000,6,0),0)+IFERROR(VLOOKUP(C18,'Balance Ag'!$B$7:$G$1000,6,0),0)+IFERROR(VLOOKUP(D18,'Balance Ag'!$B$7:$G$1000,6,0),0)+IFERROR(VLOOKUP(E18,'Balance Ag'!$B$7:$G$1000,6,0),0)+IFERROR(VLOOKUP(F18,'Balance Ag'!$B$7:$G$1000,6,0),0)+IFERROR(VLOOKUP(G18,'Balance Ag'!$B$7:$G$1000,6,0),0)+IFERROR(VLOOKUP(H18,'Balance Ag'!$B$7:$G$1000,6,0),0)+IFERROR(VLOOKUP(I18,'Balance Ag'!$B$7:$G$1000,6,0),0)</f>
        <v>0</v>
      </c>
      <c r="W18" s="169"/>
      <c r="X18" s="169">
        <f t="shared" si="2"/>
        <v>0</v>
      </c>
      <c r="Y18" s="172">
        <f t="shared" si="3"/>
        <v>0</v>
      </c>
      <c r="AA18" s="253" t="s">
        <v>1374</v>
      </c>
      <c r="AB18" s="266"/>
      <c r="AC18" s="266"/>
      <c r="AD18" s="257"/>
      <c r="AE18" s="266"/>
      <c r="AF18" s="266"/>
      <c r="AG18" s="257"/>
    </row>
    <row r="19" spans="2:33" ht="15" thickBot="1">
      <c r="B19" s="206" t="s">
        <v>1036</v>
      </c>
      <c r="C19" s="206" t="s">
        <v>379</v>
      </c>
      <c r="D19" s="206" t="s">
        <v>380</v>
      </c>
      <c r="E19" s="206" t="s">
        <v>390</v>
      </c>
      <c r="F19" s="206" t="s">
        <v>389</v>
      </c>
      <c r="G19" s="206" t="s">
        <v>391</v>
      </c>
      <c r="H19" s="206" t="s">
        <v>395</v>
      </c>
      <c r="I19" s="206" t="s">
        <v>1045</v>
      </c>
      <c r="J19" s="206" t="s">
        <v>216</v>
      </c>
      <c r="K19" s="206"/>
      <c r="L19" s="206"/>
      <c r="M19" s="206"/>
      <c r="N19" s="206"/>
      <c r="O19" s="206"/>
      <c r="P19" s="206"/>
      <c r="Q19" s="207"/>
      <c r="R19" s="207"/>
      <c r="S19" s="156" t="s">
        <v>854</v>
      </c>
      <c r="T19" s="93" t="s">
        <v>1044</v>
      </c>
      <c r="U19" s="169">
        <f t="shared" si="5"/>
        <v>0</v>
      </c>
      <c r="V19" s="169">
        <f>IFERROR(VLOOKUP(B19,'Balance Ag'!$B$7:$G$1000,6,0),0)+IFERROR(VLOOKUP(C19,'Balance Ag'!$B$7:$G$1000,6,0),0)+IFERROR(VLOOKUP(D19,'Balance Ag'!$B$7:$G$1000,6,0),0)+IFERROR(VLOOKUP(E19,'Balance Ag'!$B$7:$G$1000,6,0),0)+IFERROR(VLOOKUP(F19,'Balance Ag'!$B$7:$G$1000,6,0),0)+IFERROR(VLOOKUP(G19,'Balance Ag'!$B$7:$G$1000,6,0),0)+IFERROR(VLOOKUP(H19,'Balance Ag'!$B$7:$G$1000,6,0),0)+IFERROR(VLOOKUP(I19,'Balance Ag'!$B$7:$G$1000,6,0),0)+IFERROR(VLOOKUP(J19,'Balance Ag'!$B$7:$G$1000,6,0),0)</f>
        <v>0</v>
      </c>
      <c r="W19" s="169"/>
      <c r="X19" s="169">
        <f t="shared" si="2"/>
        <v>0</v>
      </c>
      <c r="Y19" s="172">
        <f t="shared" si="3"/>
        <v>0</v>
      </c>
      <c r="AA19" s="253" t="s">
        <v>1375</v>
      </c>
      <c r="AB19" s="266"/>
      <c r="AC19" s="266"/>
      <c r="AD19" s="257"/>
      <c r="AE19" s="266"/>
      <c r="AF19" s="266"/>
      <c r="AG19" s="257"/>
    </row>
    <row r="20" spans="2:33" ht="15" thickBot="1">
      <c r="B20" s="206" t="s">
        <v>377</v>
      </c>
      <c r="C20" s="206" t="s">
        <v>378</v>
      </c>
      <c r="D20" s="206" t="s">
        <v>280</v>
      </c>
      <c r="E20" s="206" t="s">
        <v>381</v>
      </c>
      <c r="F20" s="206" t="s">
        <v>281</v>
      </c>
      <c r="G20" s="206" t="s">
        <v>382</v>
      </c>
      <c r="H20" s="206" t="s">
        <v>1046</v>
      </c>
      <c r="I20" s="206"/>
      <c r="J20" s="206"/>
      <c r="K20" s="206"/>
      <c r="L20" s="206"/>
      <c r="M20" s="206"/>
      <c r="N20" s="206"/>
      <c r="O20" s="206"/>
      <c r="P20" s="206"/>
      <c r="Q20" s="207"/>
      <c r="R20" s="207"/>
      <c r="S20" s="156" t="s">
        <v>855</v>
      </c>
      <c r="T20" s="93" t="s">
        <v>1047</v>
      </c>
      <c r="U20" s="169">
        <f t="shared" si="5"/>
        <v>0</v>
      </c>
      <c r="V20" s="169">
        <f>IFERROR(VLOOKUP(B20,'Balance Ag'!$B$7:$G$1000,6,0),0)+IFERROR(VLOOKUP(C20,'Balance Ag'!$B$7:$G$1000,6,0),0)+IFERROR(VLOOKUP(D20,'Balance Ag'!$B$7:$G$1000,6,0),0)+IFERROR(VLOOKUP(E20,'Balance Ag'!$B$7:$G$1000,6,0),0)+IFERROR(VLOOKUP(F20,'Balance Ag'!$B$7:$G$1000,6,0),0)+IFERROR(VLOOKUP(G20,'Balance Ag'!$B$7:$G$1000,6,0),0)+IFERROR(VLOOKUP(H20,'Balance Ag'!$B$7:$G$1000,6,0),0)</f>
        <v>0</v>
      </c>
      <c r="W20" s="169"/>
      <c r="X20" s="169">
        <f t="shared" si="2"/>
        <v>0</v>
      </c>
      <c r="Y20" s="172">
        <f t="shared" si="3"/>
        <v>0</v>
      </c>
      <c r="AA20" s="253" t="s">
        <v>1376</v>
      </c>
      <c r="AB20" s="266"/>
      <c r="AC20" s="266"/>
      <c r="AD20" s="257"/>
      <c r="AE20" s="266"/>
      <c r="AF20" s="266"/>
      <c r="AG20" s="257"/>
    </row>
    <row r="21" spans="2:33" ht="15" thickBot="1">
      <c r="B21" s="206" t="s">
        <v>1048</v>
      </c>
      <c r="C21" s="206" t="s">
        <v>1049</v>
      </c>
      <c r="D21" s="206" t="s">
        <v>1050</v>
      </c>
      <c r="E21" s="206" t="s">
        <v>1051</v>
      </c>
      <c r="F21" s="206" t="s">
        <v>1052</v>
      </c>
      <c r="G21" s="206" t="s">
        <v>1053</v>
      </c>
      <c r="H21" s="206" t="s">
        <v>1054</v>
      </c>
      <c r="I21" s="206" t="s">
        <v>1055</v>
      </c>
      <c r="J21" s="206" t="s">
        <v>1056</v>
      </c>
      <c r="K21" s="206"/>
      <c r="L21" s="206"/>
      <c r="M21" s="206"/>
      <c r="N21" s="206"/>
      <c r="O21" s="206"/>
      <c r="P21" s="206"/>
      <c r="Q21" s="207"/>
      <c r="R21" s="207"/>
      <c r="S21" s="156" t="s">
        <v>205</v>
      </c>
      <c r="T21" s="93" t="s">
        <v>1057</v>
      </c>
      <c r="U21" s="169">
        <f t="shared" si="5"/>
        <v>0</v>
      </c>
      <c r="V21" s="169">
        <f>IFERROR(VLOOKUP(B21,'Balance Ag'!$B$7:$G$1000,6,0),0)+IFERROR(VLOOKUP(C21,'Balance Ag'!$B$7:$G$1000,6,0),0)+IFERROR(VLOOKUP(D21,'Balance Ag'!$B$7:$G$1000,6,0),0)+IFERROR(VLOOKUP(E21,'Balance Ag'!$B$7:$G$1000,6,0),0)+IFERROR(VLOOKUP(F21,'Balance Ag'!$B$7:$G$1000,6,0),0)+IFERROR(VLOOKUP(G21,'Balance Ag'!$B$7:$G$1000,6,0),0)+IFERROR(VLOOKUP(H21,'Balance Ag'!$B$7:$G$1000,6,0),0)+IFERROR(VLOOKUP(I21,'Balance Ag'!$B$7:$G$1000,6,0),0)+IFERROR(VLOOKUP(J21,'Balance Ag'!$B$7:$G$1000,6,0),0)</f>
        <v>0</v>
      </c>
      <c r="W21" s="169"/>
      <c r="X21" s="169">
        <f t="shared" si="2"/>
        <v>0</v>
      </c>
      <c r="Y21" s="172">
        <f t="shared" si="3"/>
        <v>0</v>
      </c>
      <c r="AA21" s="253" t="s">
        <v>1377</v>
      </c>
      <c r="AB21" s="266"/>
      <c r="AC21" s="266"/>
      <c r="AD21" s="257"/>
      <c r="AE21" s="266"/>
      <c r="AF21" s="266"/>
      <c r="AG21" s="257"/>
    </row>
    <row r="22" spans="2:33" ht="15" thickBot="1">
      <c r="B22" s="206" t="s">
        <v>1035</v>
      </c>
      <c r="C22" s="206" t="s">
        <v>279</v>
      </c>
      <c r="D22" s="206" t="s">
        <v>341</v>
      </c>
      <c r="E22" s="206" t="s">
        <v>687</v>
      </c>
      <c r="F22" s="206" t="s">
        <v>1058</v>
      </c>
      <c r="G22" s="206" t="s">
        <v>830</v>
      </c>
      <c r="H22" s="206" t="s">
        <v>1059</v>
      </c>
      <c r="I22" s="206" t="s">
        <v>149</v>
      </c>
      <c r="J22" s="206"/>
      <c r="K22" s="206"/>
      <c r="L22" s="206"/>
      <c r="M22" s="206"/>
      <c r="N22" s="206"/>
      <c r="O22" s="206"/>
      <c r="P22" s="206"/>
      <c r="Q22" s="207"/>
      <c r="R22" s="207"/>
      <c r="S22" s="156" t="s">
        <v>856</v>
      </c>
      <c r="T22" s="93" t="s">
        <v>1064</v>
      </c>
      <c r="U22" s="169">
        <f t="shared" si="5"/>
        <v>0</v>
      </c>
      <c r="V22" s="169">
        <f>IFERROR(VLOOKUP(B22,'Balance Ag'!$B$7:$G$1000,6,0),0)+IFERROR(VLOOKUP(C22,'Balance Ag'!$B$7:$G$1000,6,0),0)+IFERROR(VLOOKUP(D22,'Balance Ag'!$B$7:$G$1000,6,0),0)+IFERROR(VLOOKUP(E22,'Balance Ag'!$B$7:$G$1000,6,0),0)+IFERROR(VLOOKUP(F22,'Balance Ag'!$B$7:$G$1000,6,0),0)+IFERROR(VLOOKUP(G22,'Balance Ag'!$B$7:$G$1000,6,0),0)+IFERROR(VLOOKUP(H22,'Balance Ag'!$B$7:$G$1000,6,0),0)+IFERROR(VLOOKUP(I22,'Balance Ag'!$B$7:$G$1000,6,0),0)</f>
        <v>0</v>
      </c>
      <c r="W22" s="169"/>
      <c r="X22" s="169">
        <f t="shared" si="2"/>
        <v>0</v>
      </c>
      <c r="Y22" s="172">
        <f t="shared" si="3"/>
        <v>0</v>
      </c>
      <c r="AA22" s="253" t="s">
        <v>1378</v>
      </c>
      <c r="AB22" s="266"/>
      <c r="AC22" s="266"/>
      <c r="AD22" s="257"/>
      <c r="AE22" s="266"/>
      <c r="AF22" s="266"/>
      <c r="AG22" s="257"/>
    </row>
    <row r="23" spans="2:33" ht="15" thickBot="1">
      <c r="B23" s="206" t="s">
        <v>1060</v>
      </c>
      <c r="C23" s="206" t="s">
        <v>1061</v>
      </c>
      <c r="D23" s="206" t="s">
        <v>1062</v>
      </c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7"/>
      <c r="R23" s="207"/>
      <c r="S23" s="156" t="s">
        <v>857</v>
      </c>
      <c r="T23" s="93" t="s">
        <v>1066</v>
      </c>
      <c r="U23" s="169">
        <f t="shared" si="5"/>
        <v>0</v>
      </c>
      <c r="V23" s="169">
        <f>IFERROR(VLOOKUP(B23,'Balance Ag'!$B$7:$G$1000,6,0),0)+IFERROR(VLOOKUP(C23,'Balance Ag'!$B$7:$G$1000,6,0),0)+IFERROR(VLOOKUP(D23,'Balance Ag'!$B$7:$G$1000,6,0),0)</f>
        <v>0</v>
      </c>
      <c r="W23" s="169"/>
      <c r="X23" s="169">
        <f t="shared" si="2"/>
        <v>0</v>
      </c>
      <c r="Y23" s="172">
        <f t="shared" si="3"/>
        <v>0</v>
      </c>
      <c r="AA23" s="253" t="s">
        <v>1379</v>
      </c>
      <c r="AB23" s="266"/>
      <c r="AC23" s="266"/>
      <c r="AD23" s="257"/>
      <c r="AE23" s="266"/>
      <c r="AF23" s="266"/>
      <c r="AG23" s="257"/>
    </row>
    <row r="24" spans="2:33" ht="15" thickBot="1">
      <c r="B24" s="206" t="s">
        <v>150</v>
      </c>
      <c r="C24" s="206" t="s">
        <v>218</v>
      </c>
      <c r="D24" s="206" t="s">
        <v>219</v>
      </c>
      <c r="E24" s="206" t="s">
        <v>1063</v>
      </c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7"/>
      <c r="R24" s="207"/>
      <c r="S24" s="130" t="s">
        <v>858</v>
      </c>
      <c r="T24" s="103" t="s">
        <v>1065</v>
      </c>
      <c r="U24" s="186">
        <f>AC24</f>
        <v>0</v>
      </c>
      <c r="V24" s="186">
        <f>IFERROR(VLOOKUP(B24,'Balance Ag'!$B$7:$G$1000,6,0),0)+IFERROR(VLOOKUP(C24,'Balance Ag'!$B$7:$G$1000,6,0),0)+IFERROR(VLOOKUP(D24,'Balance Ag'!$B$7:$G$1000,6,0),0)+IFERROR(VLOOKUP(E24,'Balance Ag'!$B$7:$G$1000,6,0),0)</f>
        <v>0</v>
      </c>
      <c r="W24" s="186"/>
      <c r="X24" s="186">
        <f t="shared" si="2"/>
        <v>0</v>
      </c>
      <c r="Y24" s="164">
        <f t="shared" si="3"/>
        <v>0</v>
      </c>
      <c r="AA24" s="253" t="s">
        <v>1380</v>
      </c>
      <c r="AB24" s="266"/>
      <c r="AC24" s="266"/>
      <c r="AD24" s="257"/>
      <c r="AE24" s="266"/>
      <c r="AF24" s="266"/>
      <c r="AG24" s="257"/>
    </row>
    <row r="25" spans="2:33" ht="15" thickBot="1">
      <c r="B25" s="206" t="s">
        <v>217</v>
      </c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7"/>
      <c r="R25" s="207"/>
      <c r="S25" s="130" t="s">
        <v>859</v>
      </c>
      <c r="T25" s="103" t="s">
        <v>880</v>
      </c>
      <c r="U25" s="186">
        <f>AC25</f>
        <v>0</v>
      </c>
      <c r="V25" s="186">
        <f>IFERROR(VLOOKUP(B25,'Balance Ag'!$B$7:$G$1000,6,0),0)</f>
        <v>0</v>
      </c>
      <c r="W25" s="186"/>
      <c r="X25" s="186">
        <f t="shared" si="2"/>
        <v>0</v>
      </c>
      <c r="Y25" s="164">
        <f t="shared" si="3"/>
        <v>0</v>
      </c>
      <c r="AA25" s="253" t="s">
        <v>1381</v>
      </c>
      <c r="AB25" s="266"/>
      <c r="AC25" s="266"/>
      <c r="AD25" s="257"/>
      <c r="AE25" s="266"/>
      <c r="AF25" s="266"/>
      <c r="AG25" s="257"/>
    </row>
    <row r="26" spans="2:33" ht="15" thickBot="1"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7"/>
      <c r="R26" s="207"/>
      <c r="S26" s="128" t="s">
        <v>203</v>
      </c>
      <c r="T26" s="96"/>
      <c r="U26" s="167">
        <f>AD26</f>
        <v>0</v>
      </c>
      <c r="V26" s="201">
        <f>V27+V34+V35+V45+V49+V53+V57</f>
        <v>0</v>
      </c>
      <c r="W26" s="201">
        <f t="shared" ref="W26" si="6">W27+W34+W35+W45+W49+W53+W57</f>
        <v>0</v>
      </c>
      <c r="X26" s="201">
        <f t="shared" si="2"/>
        <v>0</v>
      </c>
      <c r="Y26" s="202">
        <f t="shared" si="3"/>
        <v>0</v>
      </c>
      <c r="AA26" s="252" t="s">
        <v>1382</v>
      </c>
      <c r="AB26" s="265"/>
      <c r="AC26" s="265"/>
      <c r="AD26" s="256"/>
      <c r="AE26" s="265"/>
      <c r="AF26" s="265"/>
      <c r="AG26" s="256"/>
    </row>
    <row r="27" spans="2:33" ht="15" thickBot="1"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7"/>
      <c r="R27" s="207"/>
      <c r="S27" s="130" t="s">
        <v>860</v>
      </c>
      <c r="T27" s="96"/>
      <c r="U27" s="167">
        <f>AC27</f>
        <v>0</v>
      </c>
      <c r="V27" s="186">
        <f>SUM(V28:V33)</f>
        <v>0</v>
      </c>
      <c r="W27" s="186">
        <f t="shared" ref="W27" si="7">SUM(W28:W33)</f>
        <v>0</v>
      </c>
      <c r="X27" s="186">
        <f t="shared" si="2"/>
        <v>0</v>
      </c>
      <c r="Y27" s="164">
        <f t="shared" si="3"/>
        <v>0</v>
      </c>
      <c r="AA27" s="253" t="s">
        <v>1373</v>
      </c>
      <c r="AB27" s="266"/>
      <c r="AC27" s="266"/>
      <c r="AD27" s="257"/>
      <c r="AE27" s="266"/>
      <c r="AF27" s="266"/>
      <c r="AG27" s="257"/>
    </row>
    <row r="28" spans="2:33" ht="15" thickBot="1">
      <c r="B28" s="206" t="s">
        <v>1067</v>
      </c>
      <c r="C28" s="206" t="s">
        <v>1068</v>
      </c>
      <c r="D28" s="206" t="s">
        <v>1069</v>
      </c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7"/>
      <c r="R28" s="207"/>
      <c r="S28" s="156" t="s">
        <v>204</v>
      </c>
      <c r="T28" s="93" t="s">
        <v>1078</v>
      </c>
      <c r="U28" s="169">
        <f t="shared" ref="U28:U33" si="8">AB28</f>
        <v>0</v>
      </c>
      <c r="V28" s="169">
        <f>IFERROR(VLOOKUP(B28,'Balance Ag'!$B$7:$G$1000,6,0),0)+IFERROR(VLOOKUP(C28,'Balance Ag'!$B$7:$G$1000,6,0),0)+IFERROR(VLOOKUP(D28,'Balance Ag'!$B$7:$G$1000,6,0),0)</f>
        <v>0</v>
      </c>
      <c r="W28" s="169"/>
      <c r="X28" s="169">
        <f t="shared" si="2"/>
        <v>0</v>
      </c>
      <c r="Y28" s="172">
        <f t="shared" si="3"/>
        <v>0</v>
      </c>
      <c r="AA28" s="253" t="s">
        <v>1374</v>
      </c>
      <c r="AB28" s="266"/>
      <c r="AC28" s="266"/>
      <c r="AD28" s="257"/>
      <c r="AE28" s="266"/>
      <c r="AF28" s="266"/>
      <c r="AG28" s="257"/>
    </row>
    <row r="29" spans="2:33" ht="15" thickBot="1"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7"/>
      <c r="R29" s="207"/>
      <c r="S29" s="156" t="s">
        <v>854</v>
      </c>
      <c r="T29" s="93"/>
      <c r="U29" s="169">
        <f t="shared" si="8"/>
        <v>0</v>
      </c>
      <c r="V29" s="169"/>
      <c r="W29" s="169"/>
      <c r="X29" s="169">
        <f t="shared" si="2"/>
        <v>0</v>
      </c>
      <c r="Y29" s="172">
        <f t="shared" si="3"/>
        <v>0</v>
      </c>
      <c r="AA29" s="253" t="s">
        <v>1375</v>
      </c>
      <c r="AB29" s="266"/>
      <c r="AC29" s="266"/>
      <c r="AD29" s="257"/>
      <c r="AE29" s="266"/>
      <c r="AF29" s="266"/>
      <c r="AG29" s="257"/>
    </row>
    <row r="30" spans="2:33" ht="15" thickBot="1"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7"/>
      <c r="R30" s="207"/>
      <c r="S30" s="156" t="s">
        <v>855</v>
      </c>
      <c r="T30" s="93"/>
      <c r="U30" s="169">
        <f t="shared" si="8"/>
        <v>0</v>
      </c>
      <c r="V30" s="169"/>
      <c r="W30" s="169"/>
      <c r="X30" s="169">
        <f t="shared" si="2"/>
        <v>0</v>
      </c>
      <c r="Y30" s="172">
        <f t="shared" si="3"/>
        <v>0</v>
      </c>
      <c r="AA30" s="253" t="s">
        <v>1376</v>
      </c>
      <c r="AB30" s="266"/>
      <c r="AC30" s="266"/>
      <c r="AD30" s="257"/>
      <c r="AE30" s="266"/>
      <c r="AF30" s="266"/>
      <c r="AG30" s="257"/>
    </row>
    <row r="31" spans="2:33" ht="15" thickBot="1">
      <c r="B31" s="206" t="s">
        <v>1070</v>
      </c>
      <c r="C31" s="206" t="s">
        <v>1071</v>
      </c>
      <c r="D31" s="206" t="s">
        <v>1072</v>
      </c>
      <c r="E31" s="206" t="s">
        <v>1073</v>
      </c>
      <c r="F31" s="206" t="s">
        <v>1074</v>
      </c>
      <c r="G31" s="206" t="s">
        <v>1075</v>
      </c>
      <c r="H31" s="206" t="s">
        <v>1076</v>
      </c>
      <c r="I31" s="206" t="s">
        <v>1077</v>
      </c>
      <c r="J31" s="206"/>
      <c r="K31" s="206"/>
      <c r="L31" s="206"/>
      <c r="M31" s="206"/>
      <c r="N31" s="206"/>
      <c r="O31" s="206"/>
      <c r="P31" s="206"/>
      <c r="Q31" s="207"/>
      <c r="R31" s="207"/>
      <c r="S31" s="156" t="s">
        <v>205</v>
      </c>
      <c r="T31" s="93" t="s">
        <v>1079</v>
      </c>
      <c r="U31" s="169">
        <f t="shared" si="8"/>
        <v>0</v>
      </c>
      <c r="V31" s="169">
        <f>IFERROR(VLOOKUP(B31,'Balance Ag'!$B$7:$G$1000,6,0),0)+IFERROR(VLOOKUP(C31,'Balance Ag'!$B$7:$G$1000,6,0),0)+IFERROR(VLOOKUP(D31,'Balance Ag'!$B$7:$G$1000,6,0),0)+IFERROR(VLOOKUP(E31,'Balance Ag'!$B$7:$G$1000,6,0),0)+IFERROR(VLOOKUP(F31,'Balance Ag'!$B$7:$G$1000,6,0),0)+IFERROR(VLOOKUP(G31,'Balance Ag'!$B$7:$G$1000,6,0),0)+IFERROR(VLOOKUP(H31,'Balance Ag'!$B$7:$G$1000,6,0),0)+IFERROR(VLOOKUP(I31,'Balance Ag'!$B$7:$G$1000,6,0),0)</f>
        <v>0</v>
      </c>
      <c r="W31" s="169"/>
      <c r="X31" s="169">
        <f t="shared" si="2"/>
        <v>0</v>
      </c>
      <c r="Y31" s="172">
        <f t="shared" si="3"/>
        <v>0</v>
      </c>
      <c r="AA31" s="253" t="s">
        <v>1377</v>
      </c>
      <c r="AB31" s="266"/>
      <c r="AC31" s="266"/>
      <c r="AD31" s="257"/>
      <c r="AE31" s="266"/>
      <c r="AF31" s="266"/>
      <c r="AG31" s="257"/>
    </row>
    <row r="32" spans="2:33" ht="15" thickBot="1">
      <c r="B32" s="206" t="s">
        <v>1080</v>
      </c>
      <c r="C32" s="206" t="s">
        <v>835</v>
      </c>
      <c r="D32" s="206" t="s">
        <v>1081</v>
      </c>
      <c r="E32" s="206" t="s">
        <v>1082</v>
      </c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7"/>
      <c r="R32" s="207"/>
      <c r="S32" s="156" t="s">
        <v>856</v>
      </c>
      <c r="T32" s="93" t="s">
        <v>1083</v>
      </c>
      <c r="U32" s="169">
        <f t="shared" si="8"/>
        <v>0</v>
      </c>
      <c r="V32" s="169">
        <f>IFERROR(VLOOKUP(B32,'Balance Ag'!$B$7:$G$1000,6,0),0)+IFERROR(VLOOKUP(C32,'Balance Ag'!$B$7:$G$1000,6,0),0)+IFERROR(VLOOKUP(D32,'Balance Ag'!$B$7:$G$1000,6,0),0)+IFERROR(VLOOKUP(E32,'Balance Ag'!$B$7:$G$1000,6,0),0)</f>
        <v>0</v>
      </c>
      <c r="W32" s="169"/>
      <c r="X32" s="169">
        <f t="shared" si="2"/>
        <v>0</v>
      </c>
      <c r="Y32" s="172">
        <f t="shared" si="3"/>
        <v>0</v>
      </c>
      <c r="AA32" s="253" t="s">
        <v>1378</v>
      </c>
      <c r="AB32" s="266"/>
      <c r="AC32" s="266"/>
      <c r="AD32" s="257"/>
      <c r="AE32" s="266"/>
      <c r="AF32" s="266"/>
      <c r="AG32" s="257"/>
    </row>
    <row r="33" spans="2:33" ht="15" thickBot="1">
      <c r="B33" s="206" t="s">
        <v>1084</v>
      </c>
      <c r="C33" s="206" t="s">
        <v>1085</v>
      </c>
      <c r="D33" s="206" t="s">
        <v>1086</v>
      </c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7"/>
      <c r="R33" s="207"/>
      <c r="S33" s="156" t="s">
        <v>857</v>
      </c>
      <c r="T33" s="93" t="s">
        <v>1088</v>
      </c>
      <c r="U33" s="169">
        <f t="shared" si="8"/>
        <v>0</v>
      </c>
      <c r="V33" s="169">
        <f>IFERROR(VLOOKUP(B33,'Balance Ag'!$B$7:$G$1000,6,0),0)+IFERROR(VLOOKUP(C33,'Balance Ag'!$B$7:$G$1000,6,0),0)+IFERROR(VLOOKUP(D33,'Balance Ag'!$B$7:$G$1000,6,0),0)</f>
        <v>0</v>
      </c>
      <c r="W33" s="169"/>
      <c r="X33" s="169">
        <f t="shared" si="2"/>
        <v>0</v>
      </c>
      <c r="Y33" s="172">
        <f t="shared" si="3"/>
        <v>0</v>
      </c>
      <c r="AA33" s="253" t="s">
        <v>1379</v>
      </c>
      <c r="AB33" s="266"/>
      <c r="AC33" s="266"/>
      <c r="AD33" s="257"/>
      <c r="AE33" s="266"/>
      <c r="AF33" s="266"/>
      <c r="AG33" s="257"/>
    </row>
    <row r="34" spans="2:33" ht="15" thickBot="1">
      <c r="B34" s="206" t="s">
        <v>1087</v>
      </c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7"/>
      <c r="R34" s="207"/>
      <c r="S34" s="130" t="s">
        <v>861</v>
      </c>
      <c r="T34" s="95">
        <v>12208</v>
      </c>
      <c r="U34" s="168">
        <f>AC34</f>
        <v>0</v>
      </c>
      <c r="V34" s="186">
        <f>IFERROR(VLOOKUP(B34,'Balance Ag'!$B$7:$G$1000,6,0),0)</f>
        <v>0</v>
      </c>
      <c r="W34" s="186">
        <f>IFERROR(VLOOKUP(C34,'Balance Ag'!$B$7:$G$1000,6,0),0)</f>
        <v>0</v>
      </c>
      <c r="X34" s="186">
        <f t="shared" si="2"/>
        <v>0</v>
      </c>
      <c r="Y34" s="164">
        <f t="shared" si="3"/>
        <v>0</v>
      </c>
      <c r="AA34" s="253" t="s">
        <v>1383</v>
      </c>
      <c r="AB34" s="266"/>
      <c r="AC34" s="266"/>
      <c r="AD34" s="257"/>
      <c r="AE34" s="266"/>
      <c r="AF34" s="266"/>
      <c r="AG34" s="257"/>
    </row>
    <row r="35" spans="2:33" ht="15" thickBot="1"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7"/>
      <c r="R35" s="207"/>
      <c r="S35" s="130" t="s">
        <v>206</v>
      </c>
      <c r="T35" s="95"/>
      <c r="U35" s="168">
        <f>AC35</f>
        <v>0</v>
      </c>
      <c r="V35" s="186">
        <f>SUM(V36:V44)</f>
        <v>0</v>
      </c>
      <c r="W35" s="186">
        <f t="shared" ref="W35" si="9">SUM(W36:W44)</f>
        <v>0</v>
      </c>
      <c r="X35" s="186">
        <f t="shared" si="2"/>
        <v>0</v>
      </c>
      <c r="Y35" s="164">
        <f t="shared" si="3"/>
        <v>0</v>
      </c>
      <c r="AA35" s="253" t="s">
        <v>1384</v>
      </c>
      <c r="AB35" s="266"/>
      <c r="AC35" s="266"/>
      <c r="AD35" s="257"/>
      <c r="AE35" s="266"/>
      <c r="AF35" s="266"/>
      <c r="AG35" s="257"/>
    </row>
    <row r="36" spans="2:33" ht="15" thickBot="1">
      <c r="B36" s="206" t="s">
        <v>825</v>
      </c>
      <c r="C36" s="206" t="s">
        <v>1089</v>
      </c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7"/>
      <c r="R36" s="207"/>
      <c r="S36" s="156" t="s">
        <v>862</v>
      </c>
      <c r="T36" s="93" t="s">
        <v>1090</v>
      </c>
      <c r="U36" s="169">
        <f t="shared" ref="U36:U44" si="10">AB36</f>
        <v>0</v>
      </c>
      <c r="V36" s="169">
        <f>IFERROR(VLOOKUP(B36,'Balance Ag'!$B$7:$G$1000,6,0),0)+IFERROR(VLOOKUP(C36,'Balance Ag'!$B$7:$G$1000,6,0),0)</f>
        <v>0</v>
      </c>
      <c r="W36" s="169"/>
      <c r="X36" s="169">
        <f t="shared" si="2"/>
        <v>0</v>
      </c>
      <c r="Y36" s="172">
        <f t="shared" si="3"/>
        <v>0</v>
      </c>
      <c r="AA36" s="253" t="s">
        <v>1385</v>
      </c>
      <c r="AB36" s="266"/>
      <c r="AC36" s="266"/>
      <c r="AD36" s="257"/>
      <c r="AE36" s="266"/>
      <c r="AF36" s="266"/>
      <c r="AG36" s="257"/>
    </row>
    <row r="37" spans="2:33" ht="15" thickBot="1">
      <c r="B37" s="206" t="s">
        <v>789</v>
      </c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7"/>
      <c r="R37" s="207"/>
      <c r="S37" s="156" t="s">
        <v>863</v>
      </c>
      <c r="T37" s="93">
        <v>14101</v>
      </c>
      <c r="U37" s="169">
        <f t="shared" si="10"/>
        <v>0</v>
      </c>
      <c r="V37" s="169">
        <f>IFERROR(VLOOKUP(B37,'Balance Ag'!$B$7:$G$1000,6,0),0)</f>
        <v>0</v>
      </c>
      <c r="W37" s="169"/>
      <c r="X37" s="169">
        <f t="shared" si="2"/>
        <v>0</v>
      </c>
      <c r="Y37" s="172">
        <f t="shared" si="3"/>
        <v>0</v>
      </c>
      <c r="AA37" s="253" t="s">
        <v>1386</v>
      </c>
      <c r="AB37" s="266"/>
      <c r="AC37" s="266"/>
      <c r="AD37" s="257"/>
      <c r="AE37" s="266"/>
      <c r="AF37" s="266"/>
      <c r="AG37" s="257"/>
    </row>
    <row r="38" spans="2:33" ht="15" thickBot="1">
      <c r="B38" s="206" t="s">
        <v>220</v>
      </c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7"/>
      <c r="R38" s="207"/>
      <c r="S38" s="156" t="s">
        <v>864</v>
      </c>
      <c r="T38" s="93">
        <v>143</v>
      </c>
      <c r="U38" s="169">
        <f t="shared" si="10"/>
        <v>0</v>
      </c>
      <c r="V38" s="169">
        <f>IFERROR(VLOOKUP(B38,'Balance Ag'!$B$7:$G$1000,6,0),0)</f>
        <v>0</v>
      </c>
      <c r="W38" s="169"/>
      <c r="X38" s="169">
        <f t="shared" si="2"/>
        <v>0</v>
      </c>
      <c r="Y38" s="172">
        <f t="shared" si="3"/>
        <v>0</v>
      </c>
      <c r="AA38" s="253" t="s">
        <v>1387</v>
      </c>
      <c r="AB38" s="266"/>
      <c r="AC38" s="266"/>
      <c r="AD38" s="257"/>
      <c r="AE38" s="266"/>
      <c r="AF38" s="266"/>
      <c r="AG38" s="257"/>
    </row>
    <row r="39" spans="2:33" ht="15" thickBot="1">
      <c r="B39" s="206" t="s">
        <v>221</v>
      </c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7"/>
      <c r="R39" s="207"/>
      <c r="S39" s="156" t="s">
        <v>761</v>
      </c>
      <c r="T39" s="93">
        <v>144</v>
      </c>
      <c r="U39" s="169">
        <f t="shared" si="10"/>
        <v>0</v>
      </c>
      <c r="V39" s="169">
        <f>IFERROR(VLOOKUP(B39,'Balance Ag'!$B$7:$G$1000,6,0),0)</f>
        <v>0</v>
      </c>
      <c r="W39" s="169"/>
      <c r="X39" s="169">
        <f t="shared" si="2"/>
        <v>0</v>
      </c>
      <c r="Y39" s="172">
        <f t="shared" si="3"/>
        <v>0</v>
      </c>
      <c r="AA39" s="253" t="s">
        <v>1388</v>
      </c>
      <c r="AB39" s="266"/>
      <c r="AC39" s="266"/>
      <c r="AD39" s="257"/>
      <c r="AE39" s="266"/>
      <c r="AF39" s="266"/>
      <c r="AG39" s="257"/>
    </row>
    <row r="40" spans="2:33" ht="15" thickBot="1">
      <c r="B40" s="206" t="s">
        <v>1091</v>
      </c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7"/>
      <c r="R40" s="207"/>
      <c r="S40" s="156" t="s">
        <v>865</v>
      </c>
      <c r="T40" s="93">
        <v>147</v>
      </c>
      <c r="U40" s="169">
        <f t="shared" si="10"/>
        <v>0</v>
      </c>
      <c r="V40" s="169">
        <f>IFERROR(VLOOKUP(B40,'Balance Ag'!$B$7:$G$1000,6,0),0)</f>
        <v>0</v>
      </c>
      <c r="W40" s="169"/>
      <c r="X40" s="169">
        <f t="shared" si="2"/>
        <v>0</v>
      </c>
      <c r="Y40" s="172">
        <f t="shared" si="3"/>
        <v>0</v>
      </c>
      <c r="AA40" s="253" t="s">
        <v>1389</v>
      </c>
      <c r="AB40" s="266"/>
      <c r="AC40" s="266"/>
      <c r="AD40" s="257"/>
      <c r="AE40" s="266"/>
      <c r="AF40" s="266"/>
      <c r="AG40" s="257"/>
    </row>
    <row r="41" spans="2:33" ht="15" thickBot="1">
      <c r="B41" s="206" t="s">
        <v>152</v>
      </c>
      <c r="C41" s="206" t="s">
        <v>154</v>
      </c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7"/>
      <c r="R41" s="207"/>
      <c r="S41" s="156" t="s">
        <v>866</v>
      </c>
      <c r="T41" s="93" t="s">
        <v>1092</v>
      </c>
      <c r="U41" s="169">
        <f t="shared" si="10"/>
        <v>0</v>
      </c>
      <c r="V41" s="169">
        <f>IFERROR(VLOOKUP(B41,'Balance Ag'!$B$7:$G$1000,6,0),0)+IFERROR(VLOOKUP(C41,'Balance Ag'!$B$7:$G$1000,6,0),0)</f>
        <v>0</v>
      </c>
      <c r="W41" s="169"/>
      <c r="X41" s="169">
        <f t="shared" si="2"/>
        <v>0</v>
      </c>
      <c r="Y41" s="172">
        <f t="shared" si="3"/>
        <v>0</v>
      </c>
      <c r="AA41" s="253" t="s">
        <v>1390</v>
      </c>
      <c r="AB41" s="266"/>
      <c r="AC41" s="266"/>
      <c r="AD41" s="257"/>
      <c r="AE41" s="266"/>
      <c r="AF41" s="266"/>
      <c r="AG41" s="257"/>
    </row>
    <row r="42" spans="2:33" ht="29.25" thickBot="1">
      <c r="B42" s="206" t="s">
        <v>832</v>
      </c>
      <c r="C42" s="206" t="s">
        <v>285</v>
      </c>
      <c r="D42" s="206" t="s">
        <v>554</v>
      </c>
      <c r="E42" s="206" t="s">
        <v>286</v>
      </c>
      <c r="F42" s="206" t="s">
        <v>826</v>
      </c>
      <c r="G42" s="206" t="s">
        <v>287</v>
      </c>
      <c r="H42" s="206" t="s">
        <v>555</v>
      </c>
      <c r="I42" s="206" t="s">
        <v>836</v>
      </c>
      <c r="J42" s="206" t="s">
        <v>1093</v>
      </c>
      <c r="K42" s="206" t="s">
        <v>1094</v>
      </c>
      <c r="L42" s="206" t="s">
        <v>838</v>
      </c>
      <c r="M42" s="206" t="s">
        <v>1095</v>
      </c>
      <c r="N42" s="206" t="s">
        <v>1096</v>
      </c>
      <c r="O42" s="206" t="s">
        <v>1097</v>
      </c>
      <c r="P42" s="206" t="s">
        <v>1450</v>
      </c>
      <c r="Q42" s="207"/>
      <c r="R42" s="207"/>
      <c r="S42" s="156" t="s">
        <v>867</v>
      </c>
      <c r="T42" s="97" t="s">
        <v>1445</v>
      </c>
      <c r="U42" s="169">
        <f t="shared" si="10"/>
        <v>0</v>
      </c>
      <c r="V42" s="169">
        <f>IFERROR(VLOOKUP(B42,'Balance Ag'!$B$7:$G$1000,6,0),0)+IFERROR(VLOOKUP(C42,'Balance Ag'!$B$7:$G$1000,6,0),0)+IFERROR(VLOOKUP(D42,'Balance Ag'!$B$7:$G$1000,6,0),0)+IFERROR(VLOOKUP(E42,'Balance Ag'!$B$7:$G$1000,6,0),0)+IFERROR(VLOOKUP(F42,'Balance Ag'!$B$7:$G$1000,6,0),0)+IFERROR(VLOOKUP(G42,'Balance Ag'!$B$7:$G$1000,6,0),0)+IFERROR(VLOOKUP(H42,'Balance Ag'!$B$7:$G$1000,6,0),0)+IFERROR(VLOOKUP(I42,'Balance Ag'!$B$7:$G$1000,6,0),0)+IFERROR(VLOOKUP(J42,'Balance Ag'!$B$7:$G$1000,6,0),0)+IFERROR(VLOOKUP(K42,'Balance Ag'!$B$7:$G$1000,6,0),0)+IFERROR(VLOOKUP(L42,'Balance Ag'!$B$7:$G$1000,6,0),0)+IFERROR(VLOOKUP(M42,'Balance Ag'!$B$7:$G$1000,6,0),0)+IFERROR(VLOOKUP(N42,'Balance Ag'!$B$7:$G$1000,6,0),0)+IFERROR(VLOOKUP(O42,'Balance Ag'!$B$7:$G$1000,6,0),0)+IFERROR(VLOOKUP(P42,'Balance Ag'!$B$7:$G$1000,6,0),0)</f>
        <v>0</v>
      </c>
      <c r="W42" s="169"/>
      <c r="X42" s="169">
        <f t="shared" si="2"/>
        <v>0</v>
      </c>
      <c r="Y42" s="172">
        <f t="shared" si="3"/>
        <v>0</v>
      </c>
      <c r="AA42" s="253" t="s">
        <v>1391</v>
      </c>
      <c r="AB42" s="266"/>
      <c r="AC42" s="266"/>
      <c r="AD42" s="257"/>
      <c r="AE42" s="266"/>
      <c r="AF42" s="266"/>
      <c r="AG42" s="257"/>
    </row>
    <row r="43" spans="2:33" ht="15" thickBot="1">
      <c r="B43" s="206" t="s">
        <v>166</v>
      </c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7"/>
      <c r="R43" s="207"/>
      <c r="S43" s="156" t="s">
        <v>868</v>
      </c>
      <c r="T43" s="93">
        <v>149</v>
      </c>
      <c r="U43" s="169">
        <f t="shared" si="10"/>
        <v>0</v>
      </c>
      <c r="V43" s="169">
        <f>IFERROR(VLOOKUP(B43,'Balance Ag'!$B$7:$G$1000,6,0),0)</f>
        <v>0</v>
      </c>
      <c r="W43" s="169"/>
      <c r="X43" s="169">
        <f t="shared" si="2"/>
        <v>0</v>
      </c>
      <c r="Y43" s="172">
        <f t="shared" si="3"/>
        <v>0</v>
      </c>
      <c r="AA43" s="253" t="s">
        <v>1392</v>
      </c>
      <c r="AB43" s="266"/>
      <c r="AC43" s="266"/>
      <c r="AD43" s="257"/>
      <c r="AE43" s="266"/>
      <c r="AF43" s="266"/>
      <c r="AG43" s="257"/>
    </row>
    <row r="44" spans="2:33" ht="15" thickBot="1">
      <c r="B44" s="206" t="s">
        <v>1098</v>
      </c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7"/>
      <c r="R44" s="207"/>
      <c r="S44" s="156" t="s">
        <v>869</v>
      </c>
      <c r="T44" s="93">
        <v>148</v>
      </c>
      <c r="U44" s="169">
        <f t="shared" si="10"/>
        <v>0</v>
      </c>
      <c r="V44" s="169">
        <f>IFERROR(VLOOKUP(B44,'Balance Ag'!$B$7:$G$1000,6,0),0)</f>
        <v>0</v>
      </c>
      <c r="W44" s="169"/>
      <c r="X44" s="169">
        <f t="shared" si="2"/>
        <v>0</v>
      </c>
      <c r="Y44" s="172">
        <f t="shared" si="3"/>
        <v>0</v>
      </c>
      <c r="AA44" s="253" t="s">
        <v>1393</v>
      </c>
      <c r="AB44" s="266"/>
      <c r="AC44" s="266"/>
      <c r="AD44" s="257"/>
      <c r="AE44" s="266"/>
      <c r="AF44" s="266"/>
      <c r="AG44" s="257"/>
    </row>
    <row r="45" spans="2:33" ht="15" thickBot="1"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7"/>
      <c r="R45" s="207"/>
      <c r="S45" s="130" t="s">
        <v>870</v>
      </c>
      <c r="T45" s="96"/>
      <c r="U45" s="167">
        <f>AC45</f>
        <v>0</v>
      </c>
      <c r="V45" s="186">
        <f>SUM(V46:V48)</f>
        <v>0</v>
      </c>
      <c r="W45" s="186">
        <f t="shared" ref="W45" si="11">SUM(W46:W48)</f>
        <v>0</v>
      </c>
      <c r="X45" s="186">
        <f t="shared" si="2"/>
        <v>0</v>
      </c>
      <c r="Y45" s="164">
        <f t="shared" si="3"/>
        <v>0</v>
      </c>
      <c r="AA45" s="253" t="s">
        <v>1394</v>
      </c>
      <c r="AB45" s="266"/>
      <c r="AC45" s="266"/>
      <c r="AD45" s="257"/>
      <c r="AE45" s="266"/>
      <c r="AF45" s="266"/>
      <c r="AG45" s="257"/>
    </row>
    <row r="46" spans="2:33" ht="15" thickBot="1">
      <c r="B46" s="206" t="s">
        <v>153</v>
      </c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7"/>
      <c r="R46" s="207"/>
      <c r="S46" s="156" t="s">
        <v>34</v>
      </c>
      <c r="T46" s="93">
        <v>151</v>
      </c>
      <c r="U46" s="169">
        <f>AB46</f>
        <v>0</v>
      </c>
      <c r="V46" s="169">
        <f>IFERROR(VLOOKUP(B46,'Balance Ag'!$B$7:$G$1000,6,0),0)</f>
        <v>0</v>
      </c>
      <c r="W46" s="169"/>
      <c r="X46" s="169">
        <f t="shared" si="2"/>
        <v>0</v>
      </c>
      <c r="Y46" s="172">
        <f t="shared" si="3"/>
        <v>0</v>
      </c>
      <c r="AA46" s="253" t="s">
        <v>1395</v>
      </c>
      <c r="AB46" s="266"/>
      <c r="AC46" s="266"/>
      <c r="AD46" s="257"/>
      <c r="AE46" s="266"/>
      <c r="AF46" s="266"/>
      <c r="AG46" s="257"/>
    </row>
    <row r="47" spans="2:33" ht="15" thickBot="1">
      <c r="B47" s="206" t="s">
        <v>196</v>
      </c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7"/>
      <c r="R47" s="207"/>
      <c r="S47" s="156" t="s">
        <v>871</v>
      </c>
      <c r="T47" s="93">
        <v>152</v>
      </c>
      <c r="U47" s="169">
        <f>AB47</f>
        <v>0</v>
      </c>
      <c r="V47" s="169">
        <f>IFERROR(VLOOKUP(B47,'Balance Ag'!$B$7:$G$1000,6,0),0)</f>
        <v>0</v>
      </c>
      <c r="W47" s="169"/>
      <c r="X47" s="169">
        <f t="shared" si="2"/>
        <v>0</v>
      </c>
      <c r="Y47" s="172">
        <f t="shared" si="3"/>
        <v>0</v>
      </c>
      <c r="AA47" s="253" t="s">
        <v>1396</v>
      </c>
      <c r="AB47" s="266"/>
      <c r="AC47" s="266"/>
      <c r="AD47" s="257"/>
      <c r="AE47" s="266"/>
      <c r="AF47" s="266"/>
      <c r="AG47" s="257"/>
    </row>
    <row r="48" spans="2:33" ht="15" thickBot="1">
      <c r="B48" s="206" t="s">
        <v>345</v>
      </c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7"/>
      <c r="R48" s="207"/>
      <c r="S48" s="156" t="s">
        <v>872</v>
      </c>
      <c r="T48" s="93">
        <v>153</v>
      </c>
      <c r="U48" s="169">
        <f>AB48</f>
        <v>0</v>
      </c>
      <c r="V48" s="169">
        <f>IFERROR(VLOOKUP(B48,'Balance Ag'!$B$7:$G$1000,6,0),0)</f>
        <v>0</v>
      </c>
      <c r="W48" s="169"/>
      <c r="X48" s="169">
        <f t="shared" si="2"/>
        <v>0</v>
      </c>
      <c r="Y48" s="172">
        <f t="shared" si="3"/>
        <v>0</v>
      </c>
      <c r="AA48" s="253" t="s">
        <v>1397</v>
      </c>
      <c r="AB48" s="266"/>
      <c r="AC48" s="266"/>
      <c r="AD48" s="257"/>
      <c r="AE48" s="266"/>
      <c r="AF48" s="266"/>
      <c r="AG48" s="257"/>
    </row>
    <row r="49" spans="2:33" ht="15" thickBot="1"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7"/>
      <c r="R49" s="207"/>
      <c r="S49" s="130" t="s">
        <v>873</v>
      </c>
      <c r="T49" s="96"/>
      <c r="U49" s="167">
        <f>AC49</f>
        <v>0</v>
      </c>
      <c r="V49" s="186">
        <f>SUM(V50:V52)</f>
        <v>0</v>
      </c>
      <c r="W49" s="186">
        <f t="shared" ref="W49" si="12">SUM(W50:W52)</f>
        <v>0</v>
      </c>
      <c r="X49" s="186">
        <f t="shared" si="2"/>
        <v>0</v>
      </c>
      <c r="Y49" s="164">
        <f t="shared" si="3"/>
        <v>0</v>
      </c>
      <c r="AA49" s="253" t="s">
        <v>1398</v>
      </c>
      <c r="AB49" s="266"/>
      <c r="AC49" s="266"/>
      <c r="AD49" s="257"/>
      <c r="AE49" s="266"/>
      <c r="AF49" s="266"/>
      <c r="AG49" s="257"/>
    </row>
    <row r="50" spans="2:33" ht="15" thickBot="1">
      <c r="B50" s="206" t="s">
        <v>1099</v>
      </c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7"/>
      <c r="R50" s="207"/>
      <c r="S50" s="156" t="s">
        <v>874</v>
      </c>
      <c r="T50" s="93">
        <v>154</v>
      </c>
      <c r="U50" s="169">
        <f>AB50</f>
        <v>0</v>
      </c>
      <c r="V50" s="169">
        <f>IFERROR(VLOOKUP(B50,'Balance Ag'!$B$7:$G$1000,6,0),0)</f>
        <v>0</v>
      </c>
      <c r="W50" s="169"/>
      <c r="X50" s="169">
        <f t="shared" si="2"/>
        <v>0</v>
      </c>
      <c r="Y50" s="172">
        <f t="shared" si="3"/>
        <v>0</v>
      </c>
      <c r="AA50" s="253" t="s">
        <v>1399</v>
      </c>
      <c r="AB50" s="266"/>
      <c r="AC50" s="266"/>
      <c r="AD50" s="257"/>
      <c r="AE50" s="266"/>
      <c r="AF50" s="266"/>
      <c r="AG50" s="257"/>
    </row>
    <row r="51" spans="2:33" ht="15" thickBot="1">
      <c r="B51" s="206" t="s">
        <v>1100</v>
      </c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7"/>
      <c r="R51" s="207"/>
      <c r="S51" s="156" t="s">
        <v>875</v>
      </c>
      <c r="T51" s="93">
        <v>155</v>
      </c>
      <c r="U51" s="169">
        <f>AB51</f>
        <v>0</v>
      </c>
      <c r="V51" s="169">
        <f>IFERROR(VLOOKUP(B51,'Balance Ag'!$B$7:$G$1000,6,0),0)</f>
        <v>0</v>
      </c>
      <c r="W51" s="169"/>
      <c r="X51" s="169">
        <f t="shared" si="2"/>
        <v>0</v>
      </c>
      <c r="Y51" s="172">
        <f t="shared" si="3"/>
        <v>0</v>
      </c>
      <c r="AA51" s="253" t="s">
        <v>1400</v>
      </c>
      <c r="AB51" s="266"/>
      <c r="AC51" s="266"/>
      <c r="AD51" s="257"/>
      <c r="AE51" s="266"/>
      <c r="AF51" s="266"/>
      <c r="AG51" s="257"/>
    </row>
    <row r="52" spans="2:33" ht="15" thickBot="1">
      <c r="B52" s="206" t="s">
        <v>1101</v>
      </c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7"/>
      <c r="R52" s="207"/>
      <c r="S52" s="156" t="s">
        <v>876</v>
      </c>
      <c r="T52" s="93">
        <v>156</v>
      </c>
      <c r="U52" s="169">
        <f t="shared" ref="U52:U56" si="13">AB52</f>
        <v>0</v>
      </c>
      <c r="V52" s="169">
        <f>IFERROR(VLOOKUP(B52,'Balance Ag'!$B$7:$G$1000,6,0),0)</f>
        <v>0</v>
      </c>
      <c r="W52" s="169"/>
      <c r="X52" s="169">
        <f t="shared" si="2"/>
        <v>0</v>
      </c>
      <c r="Y52" s="172">
        <f t="shared" si="3"/>
        <v>0</v>
      </c>
      <c r="AA52" s="253" t="s">
        <v>1401</v>
      </c>
      <c r="AB52" s="266"/>
      <c r="AC52" s="266"/>
      <c r="AD52" s="257"/>
      <c r="AE52" s="266"/>
      <c r="AF52" s="266"/>
      <c r="AG52" s="257"/>
    </row>
    <row r="53" spans="2:33" ht="15" thickBot="1"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7"/>
      <c r="R53" s="207"/>
      <c r="S53" s="130" t="s">
        <v>877</v>
      </c>
      <c r="T53" s="96"/>
      <c r="U53" s="167">
        <f>AC53</f>
        <v>0</v>
      </c>
      <c r="V53" s="186">
        <f>SUM(V54:V56)</f>
        <v>0</v>
      </c>
      <c r="W53" s="186">
        <f t="shared" ref="W53" si="14">SUM(W54:W56)</f>
        <v>0</v>
      </c>
      <c r="X53" s="186">
        <f t="shared" si="2"/>
        <v>0</v>
      </c>
      <c r="Y53" s="164">
        <f t="shared" si="3"/>
        <v>0</v>
      </c>
      <c r="AA53" s="253" t="s">
        <v>1402</v>
      </c>
      <c r="AB53" s="266"/>
      <c r="AC53" s="266"/>
      <c r="AD53" s="257"/>
      <c r="AE53" s="266"/>
      <c r="AF53" s="266"/>
      <c r="AG53" s="257"/>
    </row>
    <row r="54" spans="2:33" ht="15" thickBot="1">
      <c r="B54" s="206" t="s">
        <v>1102</v>
      </c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7"/>
      <c r="R54" s="207"/>
      <c r="S54" s="156" t="s">
        <v>837</v>
      </c>
      <c r="T54" s="93">
        <v>157</v>
      </c>
      <c r="U54" s="169">
        <f t="shared" si="13"/>
        <v>0</v>
      </c>
      <c r="V54" s="169">
        <f>IFERROR(VLOOKUP(B54,'Balance Ag'!$B$7:$G$1000,6,0),0)</f>
        <v>0</v>
      </c>
      <c r="W54" s="169"/>
      <c r="X54" s="169">
        <f t="shared" si="2"/>
        <v>0</v>
      </c>
      <c r="Y54" s="172">
        <f t="shared" si="3"/>
        <v>0</v>
      </c>
      <c r="AA54" s="253" t="s">
        <v>1403</v>
      </c>
      <c r="AB54" s="266"/>
      <c r="AC54" s="266"/>
      <c r="AD54" s="257"/>
      <c r="AE54" s="266"/>
      <c r="AF54" s="266"/>
      <c r="AG54" s="257"/>
    </row>
    <row r="55" spans="2:33" ht="15" thickBot="1">
      <c r="B55" s="206" t="s">
        <v>1103</v>
      </c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7"/>
      <c r="R55" s="207"/>
      <c r="S55" s="156" t="s">
        <v>839</v>
      </c>
      <c r="T55" s="93">
        <v>158</v>
      </c>
      <c r="U55" s="169">
        <f t="shared" si="13"/>
        <v>0</v>
      </c>
      <c r="V55" s="169">
        <f>IFERROR(VLOOKUP(B55,'Balance Ag'!$B$7:$G$1000,6,0),0)</f>
        <v>0</v>
      </c>
      <c r="W55" s="169"/>
      <c r="X55" s="169">
        <f t="shared" si="2"/>
        <v>0</v>
      </c>
      <c r="Y55" s="172">
        <f t="shared" si="3"/>
        <v>0</v>
      </c>
      <c r="AA55" s="253" t="s">
        <v>1404</v>
      </c>
      <c r="AB55" s="266"/>
      <c r="AC55" s="266"/>
      <c r="AD55" s="257"/>
      <c r="AE55" s="266"/>
      <c r="AF55" s="266"/>
      <c r="AG55" s="257"/>
    </row>
    <row r="56" spans="2:33" ht="15" thickBot="1">
      <c r="B56" s="206" t="s">
        <v>1104</v>
      </c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7"/>
      <c r="R56" s="207"/>
      <c r="S56" s="156" t="s">
        <v>878</v>
      </c>
      <c r="T56" s="93">
        <v>159</v>
      </c>
      <c r="U56" s="169">
        <f t="shared" si="13"/>
        <v>0</v>
      </c>
      <c r="V56" s="169">
        <f>IFERROR(VLOOKUP(B56,'Balance Ag'!$B$7:$G$1000,6,0),0)</f>
        <v>0</v>
      </c>
      <c r="W56" s="169"/>
      <c r="X56" s="169">
        <f t="shared" si="2"/>
        <v>0</v>
      </c>
      <c r="Y56" s="172">
        <f t="shared" si="3"/>
        <v>0</v>
      </c>
      <c r="AA56" s="253" t="s">
        <v>1405</v>
      </c>
      <c r="AB56" s="266"/>
      <c r="AC56" s="266"/>
      <c r="AD56" s="257"/>
      <c r="AE56" s="266"/>
      <c r="AF56" s="266"/>
      <c r="AG56" s="257"/>
    </row>
    <row r="57" spans="2:33" ht="15" thickBot="1">
      <c r="B57" s="206" t="s">
        <v>344</v>
      </c>
      <c r="C57" s="206" t="s">
        <v>342</v>
      </c>
      <c r="D57" s="206" t="s">
        <v>1105</v>
      </c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7"/>
      <c r="R57" s="207"/>
      <c r="S57" s="130" t="s">
        <v>879</v>
      </c>
      <c r="T57" s="95" t="s">
        <v>1106</v>
      </c>
      <c r="U57" s="168">
        <f>AC57</f>
        <v>0</v>
      </c>
      <c r="V57" s="186">
        <f>IFERROR(VLOOKUP(B57,'Balance Ag'!$B$7:$G$1000,6,0),0)+IFERROR(VLOOKUP(C57,'Balance Ag'!$B$7:$G$1000,6,0),0)+IFERROR(VLOOKUP(D57,'Balance Ag'!$B$7:$G$1000,6,0),0)</f>
        <v>0</v>
      </c>
      <c r="W57" s="186"/>
      <c r="X57" s="186">
        <f t="shared" si="2"/>
        <v>0</v>
      </c>
      <c r="Y57" s="164">
        <f t="shared" si="3"/>
        <v>0</v>
      </c>
      <c r="AA57" s="253" t="s">
        <v>1406</v>
      </c>
      <c r="AB57" s="266"/>
      <c r="AC57" s="266"/>
      <c r="AD57" s="257"/>
      <c r="AE57" s="266"/>
      <c r="AF57" s="266"/>
      <c r="AG57" s="257"/>
    </row>
    <row r="58" spans="2:33" ht="15" thickBot="1"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7"/>
      <c r="R58" s="207"/>
      <c r="S58" s="157" t="s">
        <v>780</v>
      </c>
      <c r="T58" s="203"/>
      <c r="U58" s="204">
        <f>AD58</f>
        <v>0</v>
      </c>
      <c r="V58" s="204">
        <f>V12+V26</f>
        <v>0</v>
      </c>
      <c r="W58" s="204">
        <f t="shared" ref="W58" si="15">W12+W26</f>
        <v>0</v>
      </c>
      <c r="X58" s="204">
        <f t="shared" si="2"/>
        <v>0</v>
      </c>
      <c r="Y58" s="205">
        <f t="shared" si="3"/>
        <v>0</v>
      </c>
      <c r="AA58" s="255" t="s">
        <v>780</v>
      </c>
      <c r="AB58" s="278"/>
      <c r="AC58" s="278"/>
      <c r="AD58" s="258"/>
      <c r="AE58" s="278"/>
      <c r="AF58" s="278"/>
      <c r="AG58" s="258"/>
    </row>
    <row r="59" spans="2:33" ht="15" thickBot="1">
      <c r="S59" s="159"/>
      <c r="T59" s="160"/>
      <c r="U59" s="171"/>
      <c r="V59" s="171"/>
      <c r="W59" s="171"/>
      <c r="X59" s="171"/>
      <c r="Y59" s="171"/>
      <c r="AA59" s="254"/>
      <c r="AB59" s="265"/>
      <c r="AC59" s="265"/>
      <c r="AD59" s="256"/>
      <c r="AE59" s="265"/>
      <c r="AF59" s="265"/>
      <c r="AG59" s="256"/>
    </row>
    <row r="60" spans="2:33" ht="15" thickBot="1"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7"/>
      <c r="R60" s="207"/>
      <c r="S60" s="126" t="s">
        <v>881</v>
      </c>
      <c r="T60" s="155"/>
      <c r="U60" s="166"/>
      <c r="V60" s="166"/>
      <c r="W60" s="166"/>
      <c r="X60" s="166"/>
      <c r="Y60" s="200"/>
      <c r="AA60" s="275" t="s">
        <v>881</v>
      </c>
      <c r="AB60" s="277"/>
      <c r="AC60" s="277"/>
      <c r="AD60" s="263"/>
      <c r="AE60" s="277"/>
      <c r="AF60" s="277"/>
      <c r="AG60" s="263"/>
    </row>
    <row r="61" spans="2:33" ht="15" thickBot="1"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7"/>
      <c r="R61" s="207"/>
      <c r="S61" s="128" t="s">
        <v>207</v>
      </c>
      <c r="T61" s="96"/>
      <c r="U61" s="167">
        <f>AD61</f>
        <v>0</v>
      </c>
      <c r="V61" s="201">
        <f>V62+V64+V67</f>
        <v>0</v>
      </c>
      <c r="W61" s="201">
        <f>W62+W64+W67</f>
        <v>0</v>
      </c>
      <c r="X61" s="201">
        <f>V61+W61</f>
        <v>0</v>
      </c>
      <c r="Y61" s="202">
        <f>U61-X61</f>
        <v>0</v>
      </c>
      <c r="AA61" s="252" t="s">
        <v>1407</v>
      </c>
      <c r="AB61" s="265"/>
      <c r="AC61" s="265"/>
      <c r="AD61" s="256"/>
      <c r="AE61" s="265"/>
      <c r="AF61" s="265"/>
      <c r="AG61" s="256"/>
    </row>
    <row r="62" spans="2:33" ht="15" thickBot="1"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7"/>
      <c r="R62" s="207"/>
      <c r="S62" s="130" t="s">
        <v>208</v>
      </c>
      <c r="T62" s="103"/>
      <c r="U62" s="186">
        <f>AC62</f>
        <v>0</v>
      </c>
      <c r="V62" s="186">
        <f>V63</f>
        <v>0</v>
      </c>
      <c r="W62" s="186">
        <f>W63</f>
        <v>0</v>
      </c>
      <c r="X62" s="186">
        <f t="shared" ref="X62:X86" si="16">V62+W62</f>
        <v>0</v>
      </c>
      <c r="Y62" s="164">
        <f t="shared" ref="Y62:Y94" si="17">U62-X62</f>
        <v>0</v>
      </c>
      <c r="AA62" s="253" t="s">
        <v>1408</v>
      </c>
      <c r="AB62" s="266"/>
      <c r="AC62" s="266"/>
      <c r="AD62" s="257"/>
      <c r="AE62" s="266"/>
      <c r="AF62" s="266"/>
      <c r="AG62" s="257"/>
    </row>
    <row r="63" spans="2:33" ht="15" thickBot="1">
      <c r="B63" s="206" t="s">
        <v>290</v>
      </c>
      <c r="C63" s="206" t="s">
        <v>170</v>
      </c>
      <c r="D63" s="206" t="s">
        <v>1107</v>
      </c>
      <c r="E63" s="206" t="s">
        <v>1449</v>
      </c>
      <c r="F63" s="206" t="s">
        <v>291</v>
      </c>
      <c r="G63" s="206" t="s">
        <v>296</v>
      </c>
      <c r="H63" s="206"/>
      <c r="I63" s="206"/>
      <c r="J63" s="206"/>
      <c r="K63" s="206"/>
      <c r="L63" s="206"/>
      <c r="M63" s="206"/>
      <c r="N63" s="206"/>
      <c r="O63" s="206"/>
      <c r="P63" s="206"/>
      <c r="Q63" s="207"/>
      <c r="R63" s="207"/>
      <c r="S63" s="156" t="s">
        <v>36</v>
      </c>
      <c r="T63" s="93" t="s">
        <v>1446</v>
      </c>
      <c r="U63" s="169">
        <f>AB63</f>
        <v>0</v>
      </c>
      <c r="V63" s="169">
        <f>(IFERROR(VLOOKUP(B63,'Balance Ag'!$B$7:$G$1000,6,0),0)+IFERROR(VLOOKUP(C63,'Balance Ag'!$B$7:$G$1000,6,0),0)-IFERROR(VLOOKUP(D63,'Balance Ag'!$B$7:$G$1000,6,0),0)-IFERROR(VLOOKUP(E63,'Balance Ag'!$B$7:$G$1000,6,0),0)-IFERROR(VLOOKUP(F63,'Balance Ag'!$B$7:$G$1000,6,0),0)+IFERROR(VLOOKUP(G63,'Balance Ag'!$B$7:$G$1000,6,0),0))*-1</f>
        <v>0</v>
      </c>
      <c r="W63" s="169"/>
      <c r="X63" s="169">
        <f t="shared" si="16"/>
        <v>0</v>
      </c>
      <c r="Y63" s="172">
        <f t="shared" si="17"/>
        <v>0</v>
      </c>
      <c r="AA63" s="253" t="s">
        <v>1409</v>
      </c>
      <c r="AB63" s="266"/>
      <c r="AC63" s="266"/>
      <c r="AD63" s="257"/>
      <c r="AE63" s="266"/>
      <c r="AF63" s="266"/>
      <c r="AG63" s="257"/>
    </row>
    <row r="64" spans="2:33" ht="15" thickBot="1"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7"/>
      <c r="R64" s="207"/>
      <c r="S64" s="130" t="s">
        <v>882</v>
      </c>
      <c r="T64" s="103"/>
      <c r="U64" s="191">
        <f>AC64</f>
        <v>0</v>
      </c>
      <c r="V64" s="191">
        <f>SUM(V65:V66)</f>
        <v>0</v>
      </c>
      <c r="W64" s="191">
        <f>SUM(W65:W66)</f>
        <v>0</v>
      </c>
      <c r="X64" s="191">
        <f t="shared" si="16"/>
        <v>0</v>
      </c>
      <c r="Y64" s="173">
        <f t="shared" si="17"/>
        <v>0</v>
      </c>
      <c r="AA64" s="253" t="s">
        <v>1410</v>
      </c>
      <c r="AB64" s="266"/>
      <c r="AC64" s="266"/>
      <c r="AD64" s="257"/>
      <c r="AE64" s="266"/>
      <c r="AF64" s="266"/>
      <c r="AG64" s="257"/>
    </row>
    <row r="65" spans="2:33" ht="15" thickBot="1">
      <c r="B65" s="206" t="s">
        <v>400</v>
      </c>
      <c r="C65" s="206" t="s">
        <v>401</v>
      </c>
      <c r="D65" s="206" t="s">
        <v>402</v>
      </c>
      <c r="E65" s="206" t="s">
        <v>1108</v>
      </c>
      <c r="F65" s="206" t="s">
        <v>1109</v>
      </c>
      <c r="G65" s="206" t="s">
        <v>1110</v>
      </c>
      <c r="H65" s="206"/>
      <c r="I65" s="206"/>
      <c r="J65" s="206"/>
      <c r="K65" s="206"/>
      <c r="L65" s="206"/>
      <c r="M65" s="206"/>
      <c r="N65" s="206"/>
      <c r="O65" s="206"/>
      <c r="P65" s="206"/>
      <c r="Q65" s="207"/>
      <c r="R65" s="207"/>
      <c r="S65" s="156" t="s">
        <v>213</v>
      </c>
      <c r="T65" s="93" t="s">
        <v>1111</v>
      </c>
      <c r="U65" s="169">
        <f>AB65</f>
        <v>0</v>
      </c>
      <c r="V65" s="169">
        <f>(IFERROR(VLOOKUP(B65,'Balance Ag'!$B$7:$G$1000,6,0),0)+IFERROR(VLOOKUP(C65,'Balance Ag'!$B$7:$G$1000,6,0),0)+IFERROR(VLOOKUP(D65,'Balance Ag'!$B$7:$G$1000,6,0),0)+IFERROR(VLOOKUP(E65,'Balance Ag'!$B$7:$G$1000,6,0),0)+IFERROR(VLOOKUP(F65,'Balance Ag'!$B$7:$G$1000,6,0),0)+IFERROR(VLOOKUP(G65,'Balance Ag'!$B$7:$G$1000,6,0),0))*-1</f>
        <v>0</v>
      </c>
      <c r="W65" s="169"/>
      <c r="X65" s="169">
        <f t="shared" si="16"/>
        <v>0</v>
      </c>
      <c r="Y65" s="172">
        <f t="shared" si="17"/>
        <v>0</v>
      </c>
      <c r="AA65" s="253" t="s">
        <v>1411</v>
      </c>
      <c r="AB65" s="266"/>
      <c r="AC65" s="266"/>
      <c r="AD65" s="257"/>
      <c r="AE65" s="266"/>
      <c r="AF65" s="266"/>
      <c r="AG65" s="257"/>
    </row>
    <row r="66" spans="2:33" ht="15" thickBot="1">
      <c r="B66" s="206" t="s">
        <v>1112</v>
      </c>
      <c r="C66" s="206" t="s">
        <v>841</v>
      </c>
      <c r="D66" s="206" t="s">
        <v>709</v>
      </c>
      <c r="E66" s="206" t="s">
        <v>1113</v>
      </c>
      <c r="F66" s="206" t="s">
        <v>1114</v>
      </c>
      <c r="G66" s="206" t="s">
        <v>1115</v>
      </c>
      <c r="H66" s="206"/>
      <c r="I66" s="206"/>
      <c r="J66" s="206"/>
      <c r="K66" s="206"/>
      <c r="L66" s="206"/>
      <c r="M66" s="206"/>
      <c r="N66" s="206"/>
      <c r="O66" s="206"/>
      <c r="P66" s="206"/>
      <c r="Q66" s="207"/>
      <c r="R66" s="207"/>
      <c r="S66" s="156" t="s">
        <v>42</v>
      </c>
      <c r="T66" s="93" t="s">
        <v>1116</v>
      </c>
      <c r="U66" s="169">
        <f>AB66</f>
        <v>0</v>
      </c>
      <c r="V66" s="169">
        <f>(IFERROR(VLOOKUP(B66,'Balance Ag'!$B$7:$G$1000,6,0),0)+IFERROR(VLOOKUP(C66,'Balance Ag'!$B$7:$G$1000,6,0),0)+IFERROR(VLOOKUP(D66,'Balance Ag'!$B$7:$G$1000,6,0),0)+IFERROR(VLOOKUP(E66,'Balance Ag'!$B$7:$G$1000,6,0),0)+IFERROR(VLOOKUP(F66,'Balance Ag'!$B$7:$G$1000,6,0),0)+IFERROR(VLOOKUP(G66,'Balance Ag'!$B$7:$G$1000,6,0),0))*-1</f>
        <v>0</v>
      </c>
      <c r="W66" s="169"/>
      <c r="X66" s="169">
        <f t="shared" si="16"/>
        <v>0</v>
      </c>
      <c r="Y66" s="172">
        <f t="shared" si="17"/>
        <v>0</v>
      </c>
      <c r="AA66" s="253" t="s">
        <v>1412</v>
      </c>
      <c r="AB66" s="266"/>
      <c r="AC66" s="266"/>
      <c r="AD66" s="257"/>
      <c r="AE66" s="266"/>
      <c r="AF66" s="266"/>
      <c r="AG66" s="257"/>
    </row>
    <row r="67" spans="2:33" ht="15" thickBot="1"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7"/>
      <c r="R67" s="207"/>
      <c r="S67" s="130" t="s">
        <v>209</v>
      </c>
      <c r="T67" s="103"/>
      <c r="U67" s="191">
        <f>AC67</f>
        <v>0</v>
      </c>
      <c r="V67" s="191">
        <f>SUM(V68:V74)</f>
        <v>0</v>
      </c>
      <c r="W67" s="191">
        <f>SUM(W68:W74)</f>
        <v>0</v>
      </c>
      <c r="X67" s="191">
        <f t="shared" si="16"/>
        <v>0</v>
      </c>
      <c r="Y67" s="173">
        <f t="shared" si="17"/>
        <v>0</v>
      </c>
      <c r="AA67" s="253" t="s">
        <v>1413</v>
      </c>
      <c r="AB67" s="266"/>
      <c r="AC67" s="266"/>
      <c r="AD67" s="257"/>
      <c r="AE67" s="266"/>
      <c r="AF67" s="266"/>
      <c r="AG67" s="257"/>
    </row>
    <row r="68" spans="2:33" ht="15" thickBot="1">
      <c r="B68" s="206" t="s">
        <v>292</v>
      </c>
      <c r="C68" s="206" t="s">
        <v>293</v>
      </c>
      <c r="D68" s="206" t="s">
        <v>294</v>
      </c>
      <c r="E68" s="206" t="s">
        <v>392</v>
      </c>
      <c r="F68" s="206" t="s">
        <v>393</v>
      </c>
      <c r="G68" s="206" t="s">
        <v>394</v>
      </c>
      <c r="H68" s="206" t="s">
        <v>561</v>
      </c>
      <c r="I68" s="206" t="s">
        <v>171</v>
      </c>
      <c r="J68" s="206"/>
      <c r="K68" s="206"/>
      <c r="L68" s="206"/>
      <c r="M68" s="206"/>
      <c r="N68" s="206"/>
      <c r="O68" s="206"/>
      <c r="P68" s="206"/>
      <c r="Q68" s="207"/>
      <c r="R68" s="207"/>
      <c r="S68" s="156" t="s">
        <v>883</v>
      </c>
      <c r="T68" s="93" t="s">
        <v>1117</v>
      </c>
      <c r="U68" s="169">
        <f t="shared" ref="U68:U74" si="18">AB68</f>
        <v>0</v>
      </c>
      <c r="V68" s="169">
        <f>(IFERROR(VLOOKUP(B68,'Balance Ag'!$B$7:$G$1000,6,0),0)+IFERROR(VLOOKUP(C68,'Balance Ag'!$B$7:$G$1000,6,0),0)+IFERROR(VLOOKUP(D68,'Balance Ag'!$B$7:$G$1000,6,0),0)+IFERROR(VLOOKUP(E68,'Balance Ag'!$B$7:$G$1000,6,0),0)+IFERROR(VLOOKUP(F68,'Balance Ag'!$B$7:$G$1000,6,0),0)+IFERROR(VLOOKUP(G68,'Balance Ag'!$B$7:$G$1000,6,0),0)+IFERROR(VLOOKUP(H68,'Balance Ag'!$B$7:$G$1000,6,0),0)+IFERROR(VLOOKUP(I68,'Balance Ag'!$B$7:$G$1000,6,0),0))*-1</f>
        <v>0</v>
      </c>
      <c r="W68" s="169"/>
      <c r="X68" s="169">
        <f t="shared" si="16"/>
        <v>0</v>
      </c>
      <c r="Y68" s="172">
        <f t="shared" si="17"/>
        <v>0</v>
      </c>
      <c r="AA68" s="253" t="s">
        <v>1414</v>
      </c>
      <c r="AB68" s="266"/>
      <c r="AC68" s="266"/>
      <c r="AD68" s="257"/>
      <c r="AE68" s="266"/>
      <c r="AF68" s="266"/>
      <c r="AG68" s="257"/>
    </row>
    <row r="69" spans="2:33" ht="15" thickBot="1">
      <c r="B69" s="206" t="s">
        <v>383</v>
      </c>
      <c r="C69" s="206" t="s">
        <v>372</v>
      </c>
      <c r="D69" s="206" t="s">
        <v>384</v>
      </c>
      <c r="E69" s="206" t="s">
        <v>385</v>
      </c>
      <c r="F69" s="206" t="s">
        <v>386</v>
      </c>
      <c r="G69" s="206" t="s">
        <v>387</v>
      </c>
      <c r="H69" s="206" t="s">
        <v>388</v>
      </c>
      <c r="I69" s="206" t="s">
        <v>1118</v>
      </c>
      <c r="J69" s="206"/>
      <c r="K69" s="206"/>
      <c r="L69" s="206"/>
      <c r="M69" s="206"/>
      <c r="N69" s="206"/>
      <c r="O69" s="206"/>
      <c r="P69" s="206"/>
      <c r="Q69" s="207"/>
      <c r="R69" s="207"/>
      <c r="S69" s="156" t="s">
        <v>884</v>
      </c>
      <c r="T69" s="93" t="s">
        <v>1119</v>
      </c>
      <c r="U69" s="169">
        <f t="shared" si="18"/>
        <v>0</v>
      </c>
      <c r="V69" s="169">
        <f>(IFERROR(VLOOKUP(B69,'Balance Ag'!$B$7:$G$1000,6,0),0)+IFERROR(VLOOKUP(C69,'Balance Ag'!$B$7:$G$1000,6,0),0)+IFERROR(VLOOKUP(D69,'Balance Ag'!$B$7:$G$1000,6,0),0)+IFERROR(VLOOKUP(E69,'Balance Ag'!$B$7:$G$1000,6,0),0)+IFERROR(VLOOKUP(F69,'Balance Ag'!$B$7:$G$1000,6,0),0)+IFERROR(VLOOKUP(G69,'Balance Ag'!$B$7:$G$1000,6,0),0)+IFERROR(VLOOKUP(H69,'Balance Ag'!$B$7:$G$1000,6,0),0)+IFERROR(VLOOKUP(I69,'Balance Ag'!$B$7:$G$1000,6,0),0))*-1</f>
        <v>0</v>
      </c>
      <c r="W69" s="169"/>
      <c r="X69" s="169">
        <f t="shared" si="16"/>
        <v>0</v>
      </c>
      <c r="Y69" s="172">
        <f t="shared" si="17"/>
        <v>0</v>
      </c>
      <c r="AA69" s="253" t="s">
        <v>1415</v>
      </c>
      <c r="AB69" s="266"/>
      <c r="AC69" s="266"/>
      <c r="AD69" s="257"/>
      <c r="AE69" s="266"/>
      <c r="AF69" s="266"/>
      <c r="AG69" s="257"/>
    </row>
    <row r="70" spans="2:33" ht="15" thickBot="1">
      <c r="B70" s="206" t="s">
        <v>1120</v>
      </c>
      <c r="C70" s="206" t="s">
        <v>1121</v>
      </c>
      <c r="D70" s="206" t="s">
        <v>1122</v>
      </c>
      <c r="E70" s="206" t="s">
        <v>1123</v>
      </c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7"/>
      <c r="R70" s="207"/>
      <c r="S70" s="156" t="s">
        <v>210</v>
      </c>
      <c r="T70" s="93" t="s">
        <v>1124</v>
      </c>
      <c r="U70" s="169">
        <f t="shared" si="18"/>
        <v>0</v>
      </c>
      <c r="V70" s="169">
        <f>(IFERROR(VLOOKUP(B70,'Balance Ag'!$B$7:$G$1000,6,0),0)+IFERROR(VLOOKUP(C70,'Balance Ag'!$B$7:$G$1000,6,0),0)+IFERROR(VLOOKUP(D70,'Balance Ag'!$B$7:$G$1000,6,0),0)+IFERROR(VLOOKUP(E70,'Balance Ag'!$B$7:$G$1000,6,0),0))*-1</f>
        <v>0</v>
      </c>
      <c r="W70" s="169"/>
      <c r="X70" s="169">
        <f t="shared" si="16"/>
        <v>0</v>
      </c>
      <c r="Y70" s="172">
        <f t="shared" si="17"/>
        <v>0</v>
      </c>
      <c r="AA70" s="253" t="s">
        <v>1416</v>
      </c>
      <c r="AB70" s="266"/>
      <c r="AC70" s="266"/>
      <c r="AD70" s="257"/>
      <c r="AE70" s="266"/>
      <c r="AF70" s="266"/>
      <c r="AG70" s="257"/>
    </row>
    <row r="71" spans="2:33" ht="15" thickBot="1">
      <c r="B71" s="206" t="s">
        <v>1125</v>
      </c>
      <c r="C71" s="206" t="s">
        <v>1126</v>
      </c>
      <c r="D71" s="206" t="s">
        <v>1127</v>
      </c>
      <c r="E71" s="206" t="s">
        <v>1128</v>
      </c>
      <c r="F71" s="206" t="s">
        <v>1129</v>
      </c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7"/>
      <c r="R71" s="207"/>
      <c r="S71" s="156" t="s">
        <v>885</v>
      </c>
      <c r="T71" s="93" t="s">
        <v>1130</v>
      </c>
      <c r="U71" s="169">
        <f t="shared" si="18"/>
        <v>0</v>
      </c>
      <c r="V71" s="169">
        <f>(IFERROR(VLOOKUP(B71,'Balance Ag'!$B$7:$G$1000,6,0),0)+IFERROR(VLOOKUP(C71,'Balance Ag'!$B$7:$G$1000,6,0),0)+IFERROR(VLOOKUP(D71,'Balance Ag'!$B$7:$G$1000,6,0),0)+IFERROR(VLOOKUP(E71,'Balance Ag'!$B$7:$G$1000,6,0),0)+IFERROR(VLOOKUP(F71,'Balance Ag'!$B$7:$G$1000,6,0),0))*-1</f>
        <v>0</v>
      </c>
      <c r="W71" s="169"/>
      <c r="X71" s="169">
        <f t="shared" si="16"/>
        <v>0</v>
      </c>
      <c r="Y71" s="172">
        <f t="shared" si="17"/>
        <v>0</v>
      </c>
      <c r="AA71" s="253" t="s">
        <v>1417</v>
      </c>
      <c r="AB71" s="266"/>
      <c r="AC71" s="266"/>
      <c r="AD71" s="257"/>
      <c r="AE71" s="266"/>
      <c r="AF71" s="266"/>
      <c r="AG71" s="257"/>
    </row>
    <row r="72" spans="2:33" ht="15" thickBot="1">
      <c r="B72" s="206" t="s">
        <v>403</v>
      </c>
      <c r="C72" s="206" t="s">
        <v>399</v>
      </c>
      <c r="D72" s="206" t="s">
        <v>1131</v>
      </c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7"/>
      <c r="R72" s="207"/>
      <c r="S72" s="156" t="s">
        <v>886</v>
      </c>
      <c r="T72" s="93" t="s">
        <v>1132</v>
      </c>
      <c r="U72" s="169">
        <f t="shared" si="18"/>
        <v>0</v>
      </c>
      <c r="V72" s="169">
        <f>(IFERROR(VLOOKUP(B72,'Balance Ag'!$B$7:$G$1000,6,0),0)+IFERROR(VLOOKUP(C72,'Balance Ag'!$B$7:$G$1000,6,0),0)+IFERROR(VLOOKUP(D72,'Balance Ag'!$B$7:$G$1000,6,0),0))*-1</f>
        <v>0</v>
      </c>
      <c r="W72" s="169"/>
      <c r="X72" s="169">
        <f t="shared" si="16"/>
        <v>0</v>
      </c>
      <c r="Y72" s="172">
        <f t="shared" si="17"/>
        <v>0</v>
      </c>
      <c r="AA72" s="253" t="s">
        <v>1418</v>
      </c>
      <c r="AB72" s="266"/>
      <c r="AC72" s="266"/>
      <c r="AD72" s="257"/>
      <c r="AE72" s="266"/>
      <c r="AF72" s="266"/>
      <c r="AG72" s="257"/>
    </row>
    <row r="73" spans="2:33" ht="15" thickBot="1">
      <c r="B73" s="206" t="s">
        <v>1133</v>
      </c>
      <c r="C73" s="206" t="s">
        <v>1134</v>
      </c>
      <c r="D73" s="206" t="s">
        <v>1135</v>
      </c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7"/>
      <c r="R73" s="207"/>
      <c r="S73" s="156" t="s">
        <v>887</v>
      </c>
      <c r="T73" s="93" t="s">
        <v>1136</v>
      </c>
      <c r="U73" s="169">
        <f t="shared" si="18"/>
        <v>0</v>
      </c>
      <c r="V73" s="169">
        <f>(IFERROR(VLOOKUP(B73,'Balance Ag'!$B$7:$G$1000,6,0),0)+IFERROR(VLOOKUP(C73,'Balance Ag'!$B$7:$G$1000,6,0),0)+IFERROR(VLOOKUP(D73,'Balance Ag'!$B$7:$G$1000,6,0),0))*-1</f>
        <v>0</v>
      </c>
      <c r="W73" s="169"/>
      <c r="X73" s="169">
        <f t="shared" si="16"/>
        <v>0</v>
      </c>
      <c r="Y73" s="172">
        <f t="shared" si="17"/>
        <v>0</v>
      </c>
      <c r="AA73" s="253" t="s">
        <v>1419</v>
      </c>
      <c r="AB73" s="266"/>
      <c r="AC73" s="266"/>
      <c r="AD73" s="257"/>
      <c r="AE73" s="266"/>
      <c r="AF73" s="266"/>
      <c r="AG73" s="257"/>
    </row>
    <row r="74" spans="2:33" ht="29.25" thickBot="1">
      <c r="B74" s="206" t="s">
        <v>1107</v>
      </c>
      <c r="C74" s="206" t="s">
        <v>291</v>
      </c>
      <c r="D74" s="206" t="s">
        <v>295</v>
      </c>
      <c r="E74" s="206" t="s">
        <v>840</v>
      </c>
      <c r="F74" s="206" t="s">
        <v>1137</v>
      </c>
      <c r="G74" s="206" t="s">
        <v>831</v>
      </c>
      <c r="H74" s="206" t="s">
        <v>1138</v>
      </c>
      <c r="I74" s="206" t="s">
        <v>1139</v>
      </c>
      <c r="J74" s="206" t="s">
        <v>1140</v>
      </c>
      <c r="K74" s="206" t="s">
        <v>1141</v>
      </c>
      <c r="L74" s="206" t="s">
        <v>1142</v>
      </c>
      <c r="M74" s="206" t="s">
        <v>1143</v>
      </c>
      <c r="N74" s="206" t="s">
        <v>1144</v>
      </c>
      <c r="O74" s="206" t="s">
        <v>1145</v>
      </c>
      <c r="P74" s="206" t="s">
        <v>1146</v>
      </c>
      <c r="Q74" s="207" t="s">
        <v>1449</v>
      </c>
      <c r="R74" s="207" t="s">
        <v>1147</v>
      </c>
      <c r="S74" s="156" t="s">
        <v>211</v>
      </c>
      <c r="T74" s="97" t="s">
        <v>1447</v>
      </c>
      <c r="U74" s="169">
        <f t="shared" si="18"/>
        <v>0</v>
      </c>
      <c r="V74" s="169">
        <f>(IFERROR(VLOOKUP(B74,'Balance Ag'!$B$7:$G$1000,6,0),0)+IFERROR(VLOOKUP(C74,'Balance Ag'!$B$7:$G$1000,6,0),0)+IFERROR(VLOOKUP(D74,'Balance Ag'!$B$7:$G$1000,6,0),0)+IFERROR(VLOOKUP(E74,'Balance Ag'!$B$7:$G$1000,6,0),0)+IFERROR(VLOOKUP(F74,'Balance Ag'!$B$7:$G$1000,6,0),0)+IFERROR(VLOOKUP(G74,'Balance Ag'!$B$7:$G$1000,6,0),0)+IFERROR(VLOOKUP(H74,'Balance Ag'!$B$7:$G$1000,6,0),0)+IFERROR(VLOOKUP(I74,'Balance Ag'!$B$7:$G$1000,6,0),0)+IFERROR(VLOOKUP(J74,'Balance Ag'!$B$7:$G$1000,6,0),0)+IFERROR(VLOOKUP(K74,'Balance Ag'!$B$7:$G$1000,6,0),0)+IFERROR(VLOOKUP(L74,'Balance Ag'!$B$7:$G$1000,6,0),0)+IFERROR(VLOOKUP(M74,'Balance Ag'!$B$7:$G$1000,6,0),0)+IFERROR(VLOOKUP(N74,'Balance Ag'!$B$7:$G$1000,6,0),0)+IFERROR(VLOOKUP(O74,'Balance Ag'!$B$7:$G$1000,6,0),0)+IFERROR(VLOOKUP(P74,'Balance Ag'!$B$7:$G$1000,6,0),0)++IFERROR(VLOOKUP(Q74,'Balance Ag'!$B$7:$G$1000,6,0),0)+IFERROR(VLOOKUP(R74,'Balance Ag'!$B$7:$G$1000,6,0),0))*-1</f>
        <v>0</v>
      </c>
      <c r="W74" s="169"/>
      <c r="X74" s="169">
        <f t="shared" si="16"/>
        <v>0</v>
      </c>
      <c r="Y74" s="172">
        <f t="shared" si="17"/>
        <v>0</v>
      </c>
      <c r="AA74" s="253" t="s">
        <v>1420</v>
      </c>
      <c r="AB74" s="266"/>
      <c r="AC74" s="266"/>
      <c r="AD74" s="257"/>
      <c r="AE74" s="266"/>
      <c r="AF74" s="266"/>
      <c r="AG74" s="257"/>
    </row>
    <row r="75" spans="2:33" ht="15" thickBot="1"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7"/>
      <c r="R75" s="207"/>
      <c r="S75" s="128" t="s">
        <v>212</v>
      </c>
      <c r="T75" s="96"/>
      <c r="U75" s="167">
        <f>AD75</f>
        <v>0</v>
      </c>
      <c r="V75" s="201">
        <f>V76+V79</f>
        <v>0</v>
      </c>
      <c r="W75" s="201">
        <f>W76+W79</f>
        <v>0</v>
      </c>
      <c r="X75" s="201">
        <f t="shared" si="16"/>
        <v>0</v>
      </c>
      <c r="Y75" s="202">
        <f t="shared" si="17"/>
        <v>0</v>
      </c>
      <c r="AA75" s="252" t="s">
        <v>1421</v>
      </c>
      <c r="AB75" s="265"/>
      <c r="AC75" s="265"/>
      <c r="AD75" s="256"/>
      <c r="AE75" s="265"/>
      <c r="AF75" s="265"/>
      <c r="AG75" s="256"/>
    </row>
    <row r="76" spans="2:33" ht="15" thickBot="1"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7"/>
      <c r="R76" s="207"/>
      <c r="S76" s="130" t="s">
        <v>882</v>
      </c>
      <c r="T76" s="103"/>
      <c r="U76" s="191">
        <f>AC76</f>
        <v>0</v>
      </c>
      <c r="V76" s="191">
        <f>SUM(V77:V78)</f>
        <v>0</v>
      </c>
      <c r="W76" s="191">
        <f>SUM(W77:W78)</f>
        <v>0</v>
      </c>
      <c r="X76" s="191">
        <f t="shared" si="16"/>
        <v>0</v>
      </c>
      <c r="Y76" s="173">
        <f t="shared" si="17"/>
        <v>0</v>
      </c>
      <c r="AA76" s="253" t="s">
        <v>1410</v>
      </c>
      <c r="AB76" s="266"/>
      <c r="AC76" s="266"/>
      <c r="AD76" s="257"/>
      <c r="AE76" s="266"/>
      <c r="AF76" s="266"/>
      <c r="AG76" s="257"/>
    </row>
    <row r="77" spans="2:33" ht="15" thickBot="1">
      <c r="B77" s="206" t="s">
        <v>1148</v>
      </c>
      <c r="C77" s="206" t="s">
        <v>1149</v>
      </c>
      <c r="D77" s="206" t="s">
        <v>1150</v>
      </c>
      <c r="E77" s="206" t="s">
        <v>1152</v>
      </c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7"/>
      <c r="R77" s="207"/>
      <c r="S77" s="156" t="s">
        <v>213</v>
      </c>
      <c r="T77" s="93" t="s">
        <v>1153</v>
      </c>
      <c r="U77" s="169">
        <f>AB77</f>
        <v>0</v>
      </c>
      <c r="V77" s="169">
        <f>(IFERROR(VLOOKUP(B77,'Balance Ag'!$B$7:$G$1000,6,0),0)+IFERROR(VLOOKUP(C77,'Balance Ag'!$B$7:$G$1000,6,0),0)+IFERROR(VLOOKUP(D77,'Balance Ag'!$B$7:$G$1000,6,0),0)+IFERROR(VLOOKUP(E77,'Balance Ag'!$B$7:$G$1000,6,0),0))*-1</f>
        <v>0</v>
      </c>
      <c r="W77" s="169"/>
      <c r="X77" s="169">
        <f t="shared" si="16"/>
        <v>0</v>
      </c>
      <c r="Y77" s="172">
        <f t="shared" si="17"/>
        <v>0</v>
      </c>
      <c r="AA77" s="253" t="s">
        <v>1411</v>
      </c>
      <c r="AB77" s="266"/>
      <c r="AC77" s="266"/>
      <c r="AD77" s="257"/>
      <c r="AE77" s="266"/>
      <c r="AF77" s="266"/>
      <c r="AG77" s="257"/>
    </row>
    <row r="78" spans="2:33" ht="15" thickBot="1">
      <c r="B78" s="206" t="s">
        <v>1154</v>
      </c>
      <c r="C78" s="206" t="s">
        <v>1155</v>
      </c>
      <c r="D78" s="206" t="s">
        <v>1156</v>
      </c>
      <c r="E78" s="206" t="s">
        <v>1157</v>
      </c>
      <c r="F78" s="206" t="s">
        <v>1158</v>
      </c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7"/>
      <c r="R78" s="207"/>
      <c r="S78" s="156" t="s">
        <v>42</v>
      </c>
      <c r="T78" s="93" t="s">
        <v>1163</v>
      </c>
      <c r="U78" s="169">
        <f>AB78</f>
        <v>0</v>
      </c>
      <c r="V78" s="169">
        <f>(IFERROR(VLOOKUP(B78,'Balance Ag'!$B$7:$G$1000,6,0),0)+IFERROR(VLOOKUP(C78,'Balance Ag'!$B$7:$G$1000,6,0),0)+IFERROR(VLOOKUP(D78,'Balance Ag'!$B$7:$G$1000,6,0),0)+IFERROR(VLOOKUP(E78,'Balance Ag'!$B$7:$G$1000,6,0),0)+IFERROR(VLOOKUP(F78,'Balance Ag'!$B$7:$G$1000,6,0),0))*-1</f>
        <v>0</v>
      </c>
      <c r="W78" s="169"/>
      <c r="X78" s="169">
        <f t="shared" si="16"/>
        <v>0</v>
      </c>
      <c r="Y78" s="172">
        <f t="shared" si="17"/>
        <v>0</v>
      </c>
      <c r="AA78" s="253" t="s">
        <v>1412</v>
      </c>
      <c r="AB78" s="266"/>
      <c r="AC78" s="266"/>
      <c r="AD78" s="257"/>
      <c r="AE78" s="266"/>
      <c r="AF78" s="266"/>
      <c r="AG78" s="257"/>
    </row>
    <row r="79" spans="2:33" ht="15" thickBot="1">
      <c r="B79" s="206"/>
      <c r="C79" s="206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7"/>
      <c r="R79" s="207"/>
      <c r="S79" s="130" t="s">
        <v>888</v>
      </c>
      <c r="T79" s="103"/>
      <c r="U79" s="191">
        <f>AC79</f>
        <v>0</v>
      </c>
      <c r="V79" s="191">
        <f>SUM(V80:V85)</f>
        <v>0</v>
      </c>
      <c r="W79" s="191">
        <f>SUM(W80:W85)</f>
        <v>0</v>
      </c>
      <c r="X79" s="191">
        <f t="shared" si="16"/>
        <v>0</v>
      </c>
      <c r="Y79" s="173">
        <f t="shared" si="17"/>
        <v>0</v>
      </c>
      <c r="AA79" s="253" t="s">
        <v>1413</v>
      </c>
      <c r="AB79" s="266"/>
      <c r="AC79" s="266"/>
      <c r="AD79" s="257"/>
      <c r="AE79" s="266"/>
      <c r="AF79" s="266"/>
      <c r="AG79" s="257"/>
    </row>
    <row r="80" spans="2:33" ht="15" thickBot="1"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7"/>
      <c r="R80" s="207"/>
      <c r="S80" s="156" t="s">
        <v>883</v>
      </c>
      <c r="T80" s="93"/>
      <c r="U80" s="169">
        <f t="shared" ref="U80:U85" si="19">AB80</f>
        <v>0</v>
      </c>
      <c r="V80" s="169"/>
      <c r="W80" s="169"/>
      <c r="X80" s="169">
        <f t="shared" si="16"/>
        <v>0</v>
      </c>
      <c r="Y80" s="172">
        <f t="shared" si="17"/>
        <v>0</v>
      </c>
      <c r="AA80" s="253" t="s">
        <v>1414</v>
      </c>
      <c r="AB80" s="266"/>
      <c r="AC80" s="266"/>
      <c r="AD80" s="257"/>
      <c r="AE80" s="266"/>
      <c r="AF80" s="266"/>
      <c r="AG80" s="257"/>
    </row>
    <row r="81" spans="2:33" ht="15" thickBot="1"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7"/>
      <c r="R81" s="207"/>
      <c r="S81" s="156" t="s">
        <v>884</v>
      </c>
      <c r="T81" s="93"/>
      <c r="U81" s="169">
        <f t="shared" si="19"/>
        <v>0</v>
      </c>
      <c r="V81" s="169"/>
      <c r="W81" s="169"/>
      <c r="X81" s="169">
        <f t="shared" si="16"/>
        <v>0</v>
      </c>
      <c r="Y81" s="172">
        <f t="shared" si="17"/>
        <v>0</v>
      </c>
      <c r="AA81" s="253" t="s">
        <v>1415</v>
      </c>
      <c r="AB81" s="266"/>
      <c r="AC81" s="266"/>
      <c r="AD81" s="257"/>
      <c r="AE81" s="266"/>
      <c r="AF81" s="266"/>
      <c r="AG81" s="257"/>
    </row>
    <row r="82" spans="2:33" ht="15" thickBot="1">
      <c r="B82" s="206" t="s">
        <v>1159</v>
      </c>
      <c r="C82" s="206" t="s">
        <v>1160</v>
      </c>
      <c r="D82" s="206" t="s">
        <v>1161</v>
      </c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7"/>
      <c r="R82" s="207"/>
      <c r="S82" s="156" t="s">
        <v>210</v>
      </c>
      <c r="T82" s="93" t="s">
        <v>1162</v>
      </c>
      <c r="U82" s="169">
        <f t="shared" si="19"/>
        <v>0</v>
      </c>
      <c r="V82" s="169">
        <f>(IFERROR(VLOOKUP(B82,'Balance Ag'!$B$7:$G$1000,6,0),0)+IFERROR(VLOOKUP(C82,'Balance Ag'!$B$7:$G$1000,6,0),0)+IFERROR(VLOOKUP(D82,'Balance Ag'!$B$7:$G$1000,6,0),0))*-1</f>
        <v>0</v>
      </c>
      <c r="W82" s="169"/>
      <c r="X82" s="169">
        <f t="shared" si="16"/>
        <v>0</v>
      </c>
      <c r="Y82" s="172">
        <f t="shared" si="17"/>
        <v>0</v>
      </c>
      <c r="AA82" s="253" t="s">
        <v>1416</v>
      </c>
      <c r="AB82" s="266"/>
      <c r="AC82" s="266"/>
      <c r="AD82" s="257"/>
      <c r="AE82" s="266"/>
      <c r="AF82" s="266"/>
      <c r="AG82" s="257"/>
    </row>
    <row r="83" spans="2:33" ht="15" thickBot="1">
      <c r="B83" s="206" t="s">
        <v>1164</v>
      </c>
      <c r="C83" s="206" t="s">
        <v>1165</v>
      </c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7"/>
      <c r="R83" s="207"/>
      <c r="S83" s="156" t="s">
        <v>889</v>
      </c>
      <c r="T83" s="93" t="s">
        <v>1166</v>
      </c>
      <c r="U83" s="169">
        <f t="shared" si="19"/>
        <v>0</v>
      </c>
      <c r="V83" s="169">
        <f>(IFERROR(VLOOKUP(B83,'Balance Ag'!$B$7:$G$1000,6,0),0)+IFERROR(VLOOKUP(C83,'Balance Ag'!$B$7:$G$1000,6,0),0))*-1</f>
        <v>0</v>
      </c>
      <c r="W83" s="169"/>
      <c r="X83" s="169">
        <f t="shared" si="16"/>
        <v>0</v>
      </c>
      <c r="Y83" s="172">
        <f t="shared" si="17"/>
        <v>0</v>
      </c>
      <c r="AA83" s="253" t="s">
        <v>1422</v>
      </c>
      <c r="AB83" s="266"/>
      <c r="AC83" s="266"/>
      <c r="AD83" s="257"/>
      <c r="AE83" s="266"/>
      <c r="AF83" s="266"/>
      <c r="AG83" s="257"/>
    </row>
    <row r="84" spans="2:33" ht="15" thickBot="1">
      <c r="B84" s="206" t="s">
        <v>1167</v>
      </c>
      <c r="C84" s="206" t="s">
        <v>1151</v>
      </c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7"/>
      <c r="R84" s="207"/>
      <c r="S84" s="156" t="s">
        <v>886</v>
      </c>
      <c r="T84" s="93" t="s">
        <v>1168</v>
      </c>
      <c r="U84" s="169">
        <f t="shared" si="19"/>
        <v>0</v>
      </c>
      <c r="V84" s="169">
        <f>(IFERROR(VLOOKUP(B84,'Balance Ag'!$B$7:$G$1000,6,0),0)+IFERROR(VLOOKUP(C84,'Balance Ag'!$B$7:$G$1000,6,0),0))*-1</f>
        <v>0</v>
      </c>
      <c r="W84" s="169"/>
      <c r="X84" s="169">
        <f t="shared" si="16"/>
        <v>0</v>
      </c>
      <c r="Y84" s="172">
        <f t="shared" si="17"/>
        <v>0</v>
      </c>
      <c r="AA84" s="253" t="s">
        <v>1418</v>
      </c>
      <c r="AB84" s="266"/>
      <c r="AC84" s="266"/>
      <c r="AD84" s="257"/>
      <c r="AE84" s="266"/>
      <c r="AF84" s="266"/>
      <c r="AG84" s="257"/>
    </row>
    <row r="85" spans="2:33" ht="15" thickBot="1">
      <c r="B85" s="206" t="s">
        <v>1169</v>
      </c>
      <c r="C85" s="206" t="s">
        <v>1170</v>
      </c>
      <c r="D85" s="206" t="s">
        <v>1171</v>
      </c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7"/>
      <c r="R85" s="207"/>
      <c r="S85" s="156" t="s">
        <v>887</v>
      </c>
      <c r="T85" s="93" t="s">
        <v>1172</v>
      </c>
      <c r="U85" s="169">
        <f t="shared" si="19"/>
        <v>0</v>
      </c>
      <c r="V85" s="169">
        <f>(IFERROR(VLOOKUP(B85,'Balance Ag'!$B$7:$G$1000,6,0),0)+IFERROR(VLOOKUP(C85,'Balance Ag'!$B$7:$G$1000,6,0),0)+IFERROR(VLOOKUP(D85,'Balance Ag'!$B$7:$G$1000,6,0),0))*-1</f>
        <v>0</v>
      </c>
      <c r="W85" s="169"/>
      <c r="X85" s="169">
        <f t="shared" si="16"/>
        <v>0</v>
      </c>
      <c r="Y85" s="172">
        <f t="shared" si="17"/>
        <v>0</v>
      </c>
      <c r="AA85" s="253" t="s">
        <v>1419</v>
      </c>
      <c r="AB85" s="266"/>
      <c r="AC85" s="266"/>
      <c r="AD85" s="257"/>
      <c r="AE85" s="266"/>
      <c r="AF85" s="266"/>
      <c r="AG85" s="257"/>
    </row>
    <row r="86" spans="2:33" ht="15" thickBot="1">
      <c r="B86" s="206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7"/>
      <c r="R86" s="207"/>
      <c r="S86" s="157" t="s">
        <v>781</v>
      </c>
      <c r="T86" s="158"/>
      <c r="U86" s="170">
        <f>AD86</f>
        <v>0</v>
      </c>
      <c r="V86" s="170">
        <f>V61+V75</f>
        <v>0</v>
      </c>
      <c r="W86" s="170">
        <f>W61+W75</f>
        <v>0</v>
      </c>
      <c r="X86" s="170">
        <f t="shared" si="16"/>
        <v>0</v>
      </c>
      <c r="Y86" s="174">
        <f t="shared" si="17"/>
        <v>0</v>
      </c>
      <c r="AA86" s="255" t="s">
        <v>781</v>
      </c>
      <c r="AB86" s="278"/>
      <c r="AC86" s="278"/>
      <c r="AD86" s="258"/>
      <c r="AE86" s="278"/>
      <c r="AF86" s="278"/>
      <c r="AG86" s="258"/>
    </row>
    <row r="87" spans="2:33" ht="15" thickBot="1">
      <c r="S87" s="161"/>
      <c r="T87" s="160"/>
      <c r="U87" s="171"/>
      <c r="V87" s="171"/>
      <c r="W87" s="171"/>
      <c r="X87" s="171"/>
      <c r="Y87" s="171"/>
      <c r="AA87" s="254"/>
      <c r="AB87" s="265"/>
      <c r="AC87" s="265"/>
      <c r="AD87" s="256"/>
      <c r="AE87" s="265"/>
      <c r="AF87" s="265"/>
      <c r="AG87" s="256"/>
    </row>
    <row r="88" spans="2:33" ht="15" thickBot="1">
      <c r="B88" s="206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7"/>
      <c r="R88" s="207"/>
      <c r="S88" s="126" t="s">
        <v>421</v>
      </c>
      <c r="T88" s="155"/>
      <c r="U88" s="166">
        <f>AD88</f>
        <v>0</v>
      </c>
      <c r="V88" s="166">
        <f>+V89+V93</f>
        <v>0</v>
      </c>
      <c r="W88" s="166">
        <f>+W89+W93</f>
        <v>0</v>
      </c>
      <c r="X88" s="166">
        <f>V88+W88</f>
        <v>0</v>
      </c>
      <c r="Y88" s="200">
        <f t="shared" si="17"/>
        <v>0</v>
      </c>
      <c r="AA88" s="259" t="s">
        <v>421</v>
      </c>
      <c r="AB88" s="277"/>
      <c r="AC88" s="277"/>
      <c r="AD88" s="263"/>
      <c r="AE88" s="277"/>
      <c r="AF88" s="277"/>
      <c r="AG88" s="263"/>
    </row>
    <row r="89" spans="2:33" ht="15" thickBot="1"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7"/>
      <c r="R89" s="207"/>
      <c r="S89" s="130" t="s">
        <v>214</v>
      </c>
      <c r="T89" s="103"/>
      <c r="U89" s="191">
        <f>AC89</f>
        <v>0</v>
      </c>
      <c r="V89" s="191">
        <f>SUM(V90:V92)</f>
        <v>0</v>
      </c>
      <c r="W89" s="191">
        <f>SUM(W90:W92)</f>
        <v>0</v>
      </c>
      <c r="X89" s="191">
        <f t="shared" ref="X89:X94" si="20">V89+W89</f>
        <v>0</v>
      </c>
      <c r="Y89" s="173">
        <f t="shared" si="17"/>
        <v>0</v>
      </c>
      <c r="AA89" s="253" t="s">
        <v>1423</v>
      </c>
      <c r="AB89" s="266"/>
      <c r="AC89" s="266"/>
      <c r="AD89" s="257"/>
      <c r="AE89" s="266"/>
      <c r="AF89" s="266"/>
      <c r="AG89" s="257"/>
    </row>
    <row r="90" spans="2:33" ht="15" thickBot="1">
      <c r="B90" s="206" t="s">
        <v>183</v>
      </c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7"/>
      <c r="R90" s="207"/>
      <c r="S90" s="156" t="s">
        <v>43</v>
      </c>
      <c r="T90" s="93">
        <v>31101</v>
      </c>
      <c r="U90" s="169">
        <f>AB90</f>
        <v>0</v>
      </c>
      <c r="V90" s="169">
        <f>(IFERROR(VLOOKUP(B90,'Balance Ag'!$B$7:$G$1000,6,0),0))*-1</f>
        <v>0</v>
      </c>
      <c r="W90" s="169"/>
      <c r="X90" s="169">
        <f t="shared" si="20"/>
        <v>0</v>
      </c>
      <c r="Y90" s="172">
        <f t="shared" si="17"/>
        <v>0</v>
      </c>
      <c r="AA90" s="253" t="s">
        <v>1424</v>
      </c>
      <c r="AB90" s="266"/>
      <c r="AC90" s="266"/>
      <c r="AD90" s="257"/>
      <c r="AE90" s="266"/>
      <c r="AF90" s="266"/>
      <c r="AG90" s="257"/>
    </row>
    <row r="91" spans="2:33" ht="15" thickBot="1">
      <c r="B91" s="206" t="s">
        <v>184</v>
      </c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7"/>
      <c r="R91" s="207"/>
      <c r="S91" s="156" t="s">
        <v>44</v>
      </c>
      <c r="T91" s="93">
        <v>31102</v>
      </c>
      <c r="U91" s="169">
        <f>AB91</f>
        <v>0</v>
      </c>
      <c r="V91" s="169">
        <f>(IFERROR(VLOOKUP(B91,'Balance Ag'!$B$7:$G$1000,6,0),0))*-1</f>
        <v>0</v>
      </c>
      <c r="W91" s="169"/>
      <c r="X91" s="169">
        <f t="shared" si="20"/>
        <v>0</v>
      </c>
      <c r="Y91" s="172">
        <f t="shared" si="17"/>
        <v>0</v>
      </c>
      <c r="AA91" s="253" t="s">
        <v>1425</v>
      </c>
      <c r="AB91" s="266"/>
      <c r="AC91" s="266"/>
      <c r="AD91" s="257"/>
      <c r="AE91" s="266"/>
      <c r="AF91" s="266"/>
      <c r="AG91" s="257"/>
    </row>
    <row r="92" spans="2:33" ht="15" thickBot="1">
      <c r="B92" s="206" t="s">
        <v>185</v>
      </c>
      <c r="C92" s="206" t="s">
        <v>145</v>
      </c>
      <c r="D92" s="206" t="s">
        <v>146</v>
      </c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7"/>
      <c r="R92" s="207"/>
      <c r="S92" s="156" t="s">
        <v>45</v>
      </c>
      <c r="T92" s="93" t="s">
        <v>1428</v>
      </c>
      <c r="U92" s="169">
        <f>AB92</f>
        <v>0</v>
      </c>
      <c r="V92" s="169">
        <f>(IFERROR(VLOOKUP(B92,'Balance Ag'!$B$7:$G$1000,6,0),0))*-1</f>
        <v>0</v>
      </c>
      <c r="W92" s="169">
        <f>(IFERROR(VLOOKUP(C92,'Balance Ag'!$B$7:$G$1000,6,0),0)+IFERROR(VLOOKUP(D92,'Balance Ag'!$B$7:$G$1000,6,0),0))*-1</f>
        <v>0</v>
      </c>
      <c r="X92" s="169">
        <f t="shared" si="20"/>
        <v>0</v>
      </c>
      <c r="Y92" s="172">
        <f t="shared" si="17"/>
        <v>0</v>
      </c>
      <c r="AA92" s="253" t="s">
        <v>1426</v>
      </c>
      <c r="AB92" s="266"/>
      <c r="AC92" s="266"/>
      <c r="AD92" s="257"/>
      <c r="AE92" s="266"/>
      <c r="AF92" s="266"/>
      <c r="AG92" s="257"/>
    </row>
    <row r="93" spans="2:33" ht="15" thickBot="1">
      <c r="B93" s="206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7"/>
      <c r="R93" s="207"/>
      <c r="S93" s="130" t="s">
        <v>890</v>
      </c>
      <c r="T93" s="103"/>
      <c r="U93" s="191">
        <f>AC93</f>
        <v>0</v>
      </c>
      <c r="V93" s="191"/>
      <c r="W93" s="191"/>
      <c r="X93" s="191">
        <f t="shared" si="20"/>
        <v>0</v>
      </c>
      <c r="Y93" s="173">
        <f t="shared" si="17"/>
        <v>0</v>
      </c>
      <c r="AA93" s="253" t="s">
        <v>1427</v>
      </c>
      <c r="AB93" s="266"/>
      <c r="AC93" s="266"/>
      <c r="AD93" s="257"/>
      <c r="AE93" s="266"/>
      <c r="AF93" s="266"/>
      <c r="AG93" s="257"/>
    </row>
    <row r="94" spans="2:33" ht="15" thickBot="1">
      <c r="S94" s="157" t="s">
        <v>891</v>
      </c>
      <c r="T94" s="158"/>
      <c r="U94" s="170">
        <f>AD94</f>
        <v>0</v>
      </c>
      <c r="V94" s="170">
        <f>V86+V88</f>
        <v>0</v>
      </c>
      <c r="W94" s="170">
        <f>W86+W88</f>
        <v>0</v>
      </c>
      <c r="X94" s="170">
        <f t="shared" si="20"/>
        <v>0</v>
      </c>
      <c r="Y94" s="174">
        <f t="shared" si="17"/>
        <v>0</v>
      </c>
      <c r="AA94" s="255" t="s">
        <v>891</v>
      </c>
      <c r="AB94" s="278"/>
      <c r="AC94" s="278"/>
      <c r="AD94" s="258"/>
      <c r="AE94" s="278"/>
      <c r="AF94" s="278"/>
      <c r="AG94" s="258"/>
    </row>
    <row r="95" spans="2:33" ht="15.75" thickBot="1">
      <c r="S95" s="213" t="s">
        <v>114</v>
      </c>
      <c r="T95" s="214"/>
      <c r="U95" s="216">
        <f>U58-U94</f>
        <v>0</v>
      </c>
      <c r="V95" s="216">
        <f>V58-V94</f>
        <v>0</v>
      </c>
      <c r="W95" s="216">
        <f>W58-W94</f>
        <v>0</v>
      </c>
      <c r="X95" s="215">
        <f>X58-X94</f>
        <v>0</v>
      </c>
      <c r="Y95" s="217">
        <f>Y58-Y94</f>
        <v>0</v>
      </c>
      <c r="AB95"/>
      <c r="AC95"/>
      <c r="AD95"/>
    </row>
    <row r="96" spans="2:33">
      <c r="AA96" s="283"/>
    </row>
  </sheetData>
  <mergeCells count="18">
    <mergeCell ref="AA7:AA8"/>
    <mergeCell ref="AB7:AC8"/>
    <mergeCell ref="AD7:AD8"/>
    <mergeCell ref="AE9:AG9"/>
    <mergeCell ref="AE10:AG10"/>
    <mergeCell ref="AA9:AA10"/>
    <mergeCell ref="AB9:AD9"/>
    <mergeCell ref="AB10:AD10"/>
    <mergeCell ref="AA5:AA6"/>
    <mergeCell ref="AB5:AC6"/>
    <mergeCell ref="AD5:AD6"/>
    <mergeCell ref="S2:T3"/>
    <mergeCell ref="AD3:AD4"/>
    <mergeCell ref="AA1:AA2"/>
    <mergeCell ref="AB1:AB2"/>
    <mergeCell ref="AC1:AC2"/>
    <mergeCell ref="AA3:AA4"/>
    <mergeCell ref="AB3:AC4"/>
  </mergeCells>
  <pageMargins left="0.11811023622047245" right="0.11811023622047245" top="0.15748031496062992" bottom="0.15748031496062992" header="0" footer="0"/>
  <pageSetup scale="34" fitToHeight="2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8198" r:id="rId4" name="Control 6">
          <controlPr defaultSize="0" r:id="rId5">
            <anchor moveWithCells="1">
              <from>
                <xdr:col>24</xdr:col>
                <xdr:colOff>409575</xdr:colOff>
                <xdr:row>0</xdr:row>
                <xdr:rowOff>0</xdr:rowOff>
              </from>
              <to>
                <xdr:col>24</xdr:col>
                <xdr:colOff>1143000</xdr:colOff>
                <xdr:row>0</xdr:row>
                <xdr:rowOff>180975</xdr:rowOff>
              </to>
            </anchor>
          </controlPr>
        </control>
      </mc:Choice>
      <mc:Fallback>
        <control shapeId="8198" r:id="rId4" name="Control 6"/>
      </mc:Fallback>
    </mc:AlternateContent>
    <mc:AlternateContent xmlns:mc="http://schemas.openxmlformats.org/markup-compatibility/2006">
      <mc:Choice Requires="x14">
        <control shapeId="8199" r:id="rId6" name="Control 7">
          <controlPr defaultSize="0" r:id="rId7">
            <anchor moveWithCells="1">
              <from>
                <xdr:col>24</xdr:col>
                <xdr:colOff>409575</xdr:colOff>
                <xdr:row>0</xdr:row>
                <xdr:rowOff>0</xdr:rowOff>
              </from>
              <to>
                <xdr:col>24</xdr:col>
                <xdr:colOff>1143000</xdr:colOff>
                <xdr:row>0</xdr:row>
                <xdr:rowOff>180975</xdr:rowOff>
              </to>
            </anchor>
          </controlPr>
        </control>
      </mc:Choice>
      <mc:Fallback>
        <control shapeId="8199" r:id="rId6" name="Control 7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AD74"/>
  <sheetViews>
    <sheetView showGridLines="0" tabSelected="1" zoomScale="80" zoomScaleNormal="80" workbookViewId="0">
      <pane ySplit="11" topLeftCell="A31" activePane="bottomLeft" state="frozen"/>
      <selection pane="bottomLeft" activeCell="V34" sqref="V34"/>
    </sheetView>
  </sheetViews>
  <sheetFormatPr baseColWidth="10" defaultRowHeight="15"/>
  <cols>
    <col min="1" max="1" width="11.42578125" style="76"/>
    <col min="2" max="2" width="11.140625" style="77" hidden="1" customWidth="1"/>
    <col min="3" max="8" width="8.85546875" style="77" hidden="1" customWidth="1"/>
    <col min="9" max="11" width="6.7109375" style="77" hidden="1" customWidth="1"/>
    <col min="12" max="13" width="6.5703125" style="77" hidden="1" customWidth="1"/>
    <col min="14" max="19" width="6.7109375" style="77" hidden="1" customWidth="1"/>
    <col min="20" max="20" width="6.7109375" style="220" hidden="1" customWidth="1"/>
    <col min="21" max="21" width="80.140625" style="76" bestFit="1" customWidth="1"/>
    <col min="22" max="22" width="37.7109375" style="76" customWidth="1"/>
    <col min="23" max="23" width="14" style="224" customWidth="1"/>
    <col min="24" max="25" width="18.85546875" style="224" bestFit="1" customWidth="1"/>
    <col min="26" max="26" width="11.42578125" style="76"/>
    <col min="27" max="27" width="67.140625" style="76" customWidth="1"/>
    <col min="28" max="28" width="13.85546875" style="76" bestFit="1" customWidth="1"/>
    <col min="29" max="16384" width="11.42578125" style="76"/>
  </cols>
  <sheetData>
    <row r="1" spans="2:30" ht="15" customHeight="1">
      <c r="U1" s="84"/>
      <c r="V1" s="84"/>
      <c r="W1" s="177"/>
      <c r="X1" s="177"/>
      <c r="Y1" s="177"/>
      <c r="AA1" s="356" t="s">
        <v>269</v>
      </c>
      <c r="AB1" s="357" t="str">
        <f>+Balance!AB1</f>
        <v>NOMBRE DEL SERVICIO</v>
      </c>
      <c r="AC1" s="353"/>
      <c r="AD1"/>
    </row>
    <row r="2" spans="2:30">
      <c r="U2" s="84"/>
      <c r="V2" s="84"/>
      <c r="W2" s="177"/>
      <c r="X2" s="177"/>
      <c r="Y2" s="177"/>
      <c r="AA2" s="356"/>
      <c r="AB2" s="357"/>
      <c r="AC2" s="353"/>
      <c r="AD2"/>
    </row>
    <row r="3" spans="2:30">
      <c r="U3" s="355" t="s">
        <v>0</v>
      </c>
      <c r="V3" s="355"/>
      <c r="W3" s="177"/>
      <c r="X3" s="177"/>
      <c r="Y3" s="177"/>
      <c r="AA3" s="353"/>
      <c r="AB3" s="354" t="s">
        <v>0</v>
      </c>
      <c r="AC3" s="354"/>
      <c r="AD3" s="353"/>
    </row>
    <row r="4" spans="2:30">
      <c r="U4" s="355"/>
      <c r="V4" s="355"/>
      <c r="W4" s="177"/>
      <c r="X4" s="177"/>
      <c r="Y4" s="177"/>
      <c r="AA4" s="353"/>
      <c r="AB4" s="354"/>
      <c r="AC4" s="354"/>
      <c r="AD4" s="353"/>
    </row>
    <row r="5" spans="2:30">
      <c r="U5" s="84"/>
      <c r="V5" s="84"/>
      <c r="W5" s="177"/>
      <c r="X5" s="177"/>
      <c r="Y5" s="177"/>
      <c r="AA5" s="353"/>
      <c r="AB5" s="354" t="s">
        <v>1444</v>
      </c>
      <c r="AC5" s="354"/>
      <c r="AD5" s="353"/>
    </row>
    <row r="6" spans="2:30">
      <c r="U6" s="84"/>
      <c r="V6" s="84"/>
      <c r="W6" s="177"/>
      <c r="X6" s="177"/>
      <c r="Y6" s="177"/>
      <c r="AA6" s="353"/>
      <c r="AB6" s="354"/>
      <c r="AC6" s="354"/>
      <c r="AD6" s="353"/>
    </row>
    <row r="7" spans="2:30">
      <c r="U7" s="113" t="s">
        <v>1</v>
      </c>
      <c r="V7" s="84"/>
      <c r="W7" s="177"/>
      <c r="X7" s="177"/>
      <c r="Y7" s="177"/>
      <c r="AA7" s="353"/>
      <c r="AB7" s="354" t="s">
        <v>1</v>
      </c>
      <c r="AC7" s="354"/>
      <c r="AD7" s="353"/>
    </row>
    <row r="8" spans="2:30">
      <c r="U8" s="84"/>
      <c r="V8" s="84"/>
      <c r="W8" s="177"/>
      <c r="X8" s="177"/>
      <c r="Y8" s="177"/>
      <c r="AA8" s="353"/>
      <c r="AB8" s="354"/>
      <c r="AC8" s="354"/>
      <c r="AD8" s="353"/>
    </row>
    <row r="9" spans="2:30">
      <c r="U9" s="99" t="s">
        <v>2</v>
      </c>
      <c r="V9" s="86" t="s">
        <v>267</v>
      </c>
      <c r="W9" s="3"/>
      <c r="X9" s="3"/>
      <c r="Y9" s="3"/>
      <c r="AA9" s="83"/>
      <c r="AB9"/>
      <c r="AC9"/>
      <c r="AD9"/>
    </row>
    <row r="10" spans="2:30">
      <c r="U10" s="100"/>
      <c r="V10" s="99" t="s">
        <v>787</v>
      </c>
      <c r="W10" s="184" t="s">
        <v>1441</v>
      </c>
      <c r="X10" s="185" t="s">
        <v>113</v>
      </c>
      <c r="Y10" s="184" t="s">
        <v>118</v>
      </c>
      <c r="AA10" s="83"/>
      <c r="AB10"/>
      <c r="AC10"/>
      <c r="AD10"/>
    </row>
    <row r="11" spans="2:30">
      <c r="U11" s="101"/>
      <c r="V11" s="101"/>
      <c r="W11" s="184"/>
      <c r="X11" s="184" t="s">
        <v>346</v>
      </c>
      <c r="Y11" s="184"/>
      <c r="AA11" s="284" t="s">
        <v>2</v>
      </c>
      <c r="AB11" s="250">
        <v>2018</v>
      </c>
      <c r="AC11" s="250">
        <v>2017</v>
      </c>
      <c r="AD11"/>
    </row>
    <row r="12" spans="2:30" ht="15.75" thickBot="1">
      <c r="B12" s="225"/>
      <c r="C12" s="225"/>
      <c r="D12" s="225"/>
      <c r="E12" s="225"/>
      <c r="F12" s="225"/>
      <c r="G12" s="225"/>
      <c r="H12" s="225"/>
      <c r="I12" s="225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6"/>
      <c r="U12" s="91" t="s">
        <v>794</v>
      </c>
      <c r="V12" s="91"/>
      <c r="W12" s="178">
        <f t="shared" ref="W12:W39" si="0">AB12</f>
        <v>0</v>
      </c>
      <c r="X12" s="178">
        <f>+X13+X16+X20+X23+X25+X31+X37</f>
        <v>0</v>
      </c>
      <c r="Y12" s="178">
        <f>W12-X12</f>
        <v>0</v>
      </c>
      <c r="AA12" s="275" t="s">
        <v>1254</v>
      </c>
      <c r="AB12" s="263"/>
      <c r="AC12" s="263"/>
      <c r="AD12"/>
    </row>
    <row r="13" spans="2:30" ht="15.75" thickBot="1">
      <c r="B13" s="225"/>
      <c r="C13" s="225"/>
      <c r="D13" s="225"/>
      <c r="E13" s="225"/>
      <c r="F13" s="225"/>
      <c r="G13" s="225"/>
      <c r="H13" s="225"/>
      <c r="I13" s="225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6"/>
      <c r="U13" s="103" t="s">
        <v>892</v>
      </c>
      <c r="V13" s="103"/>
      <c r="W13" s="179">
        <f t="shared" si="0"/>
        <v>0</v>
      </c>
      <c r="X13" s="179">
        <f>SUM(X14:X15)</f>
        <v>0</v>
      </c>
      <c r="Y13" s="179">
        <f t="shared" ref="Y13:Y39" si="1">W13-X13</f>
        <v>0</v>
      </c>
      <c r="AA13" s="252" t="s">
        <v>1255</v>
      </c>
      <c r="AB13" s="256"/>
      <c r="AC13" s="256"/>
      <c r="AD13"/>
    </row>
    <row r="14" spans="2:30" ht="15.75" thickBot="1">
      <c r="B14" s="225" t="s">
        <v>347</v>
      </c>
      <c r="C14" s="225"/>
      <c r="D14" s="225"/>
      <c r="E14" s="225"/>
      <c r="F14" s="225"/>
      <c r="G14" s="225"/>
      <c r="H14" s="225"/>
      <c r="I14" s="225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6"/>
      <c r="U14" s="102" t="s">
        <v>893</v>
      </c>
      <c r="V14" s="104">
        <v>411</v>
      </c>
      <c r="W14" s="180">
        <f t="shared" si="0"/>
        <v>0</v>
      </c>
      <c r="X14" s="169">
        <f>(IFERROR(VLOOKUP(B14,'Balance Ag'!$B$7:$G$1000,6,0),0))*-1</f>
        <v>0</v>
      </c>
      <c r="Y14" s="180">
        <f t="shared" si="1"/>
        <v>0</v>
      </c>
      <c r="AA14" s="253" t="s">
        <v>1256</v>
      </c>
      <c r="AB14" s="257"/>
      <c r="AC14" s="257"/>
      <c r="AD14"/>
    </row>
    <row r="15" spans="2:30" ht="15.75" thickBot="1">
      <c r="B15" s="225" t="s">
        <v>348</v>
      </c>
      <c r="C15" s="225"/>
      <c r="D15" s="225"/>
      <c r="E15" s="225"/>
      <c r="F15" s="225"/>
      <c r="G15" s="225"/>
      <c r="H15" s="225"/>
      <c r="I15" s="225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6"/>
      <c r="U15" s="102" t="s">
        <v>894</v>
      </c>
      <c r="V15" s="104">
        <v>421</v>
      </c>
      <c r="W15" s="180">
        <f t="shared" si="0"/>
        <v>0</v>
      </c>
      <c r="X15" s="169">
        <f>(IFERROR(VLOOKUP(B15,'Balance Ag'!$B$7:$G$1000,6,0),0))*-1</f>
        <v>0</v>
      </c>
      <c r="Y15" s="180">
        <f t="shared" si="1"/>
        <v>0</v>
      </c>
      <c r="AA15" s="253" t="s">
        <v>1257</v>
      </c>
      <c r="AB15" s="257"/>
      <c r="AC15" s="257"/>
      <c r="AD15"/>
    </row>
    <row r="16" spans="2:30" ht="15.75" thickBot="1">
      <c r="B16" s="225"/>
      <c r="C16" s="225"/>
      <c r="D16" s="225"/>
      <c r="E16" s="225"/>
      <c r="F16" s="225"/>
      <c r="G16" s="225"/>
      <c r="H16" s="225"/>
      <c r="I16" s="225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6"/>
      <c r="U16" s="103" t="s">
        <v>4</v>
      </c>
      <c r="V16" s="105"/>
      <c r="W16" s="181">
        <f t="shared" si="0"/>
        <v>0</v>
      </c>
      <c r="X16" s="181">
        <f>SUM(X17:X19)</f>
        <v>0</v>
      </c>
      <c r="Y16" s="181">
        <f t="shared" si="1"/>
        <v>0</v>
      </c>
      <c r="AA16" s="252" t="s">
        <v>1258</v>
      </c>
      <c r="AB16" s="256"/>
      <c r="AC16" s="256"/>
      <c r="AD16"/>
    </row>
    <row r="17" spans="2:30" ht="15.75" thickBot="1">
      <c r="B17" s="225" t="s">
        <v>120</v>
      </c>
      <c r="C17" s="225"/>
      <c r="D17" s="225"/>
      <c r="E17" s="225"/>
      <c r="F17" s="225"/>
      <c r="G17" s="225"/>
      <c r="H17" s="225"/>
      <c r="I17" s="225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6"/>
      <c r="U17" s="102" t="s">
        <v>46</v>
      </c>
      <c r="V17" s="104">
        <v>441</v>
      </c>
      <c r="W17" s="180">
        <f t="shared" si="0"/>
        <v>0</v>
      </c>
      <c r="X17" s="169">
        <f>(IFERROR(VLOOKUP(B17,'Balance Ag'!$B$7:$G$1000,6,0),0))*-1</f>
        <v>0</v>
      </c>
      <c r="Y17" s="180">
        <f t="shared" si="1"/>
        <v>0</v>
      </c>
      <c r="AA17" s="253" t="s">
        <v>1259</v>
      </c>
      <c r="AB17" s="257"/>
      <c r="AC17" s="257"/>
      <c r="AD17"/>
    </row>
    <row r="18" spans="2:30" ht="15.75" thickBot="1">
      <c r="B18" s="225" t="s">
        <v>123</v>
      </c>
      <c r="C18" s="225"/>
      <c r="D18" s="225"/>
      <c r="E18" s="225"/>
      <c r="F18" s="225"/>
      <c r="G18" s="225"/>
      <c r="H18" s="225"/>
      <c r="I18" s="225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6"/>
      <c r="U18" s="102" t="s">
        <v>842</v>
      </c>
      <c r="V18" s="104">
        <v>442</v>
      </c>
      <c r="W18" s="180">
        <f t="shared" si="0"/>
        <v>0</v>
      </c>
      <c r="X18" s="169">
        <f>(IFERROR(VLOOKUP(B18,'Balance Ag'!$B$7:$G$1000,6,0),0))*-1</f>
        <v>0</v>
      </c>
      <c r="Y18" s="180">
        <f t="shared" si="1"/>
        <v>0</v>
      </c>
      <c r="AA18" s="253" t="s">
        <v>1260</v>
      </c>
      <c r="AB18" s="257"/>
      <c r="AC18" s="257"/>
      <c r="AD18"/>
    </row>
    <row r="19" spans="2:30" ht="15.75" thickBot="1">
      <c r="B19" s="225" t="s">
        <v>121</v>
      </c>
      <c r="C19" s="225" t="s">
        <v>122</v>
      </c>
      <c r="D19" s="225"/>
      <c r="E19" s="225"/>
      <c r="F19" s="225"/>
      <c r="G19" s="225"/>
      <c r="H19" s="225"/>
      <c r="I19" s="225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6"/>
      <c r="U19" s="102" t="s">
        <v>895</v>
      </c>
      <c r="V19" s="104" t="s">
        <v>914</v>
      </c>
      <c r="W19" s="180">
        <f t="shared" si="0"/>
        <v>0</v>
      </c>
      <c r="X19" s="169">
        <f>(IFERROR(VLOOKUP(B19,'Balance Ag'!$B$7:$G$1000,6,0),0)+IFERROR(VLOOKUP(C19,'Balance Ag'!$B$7:$G$1000,6,0),0))*-1</f>
        <v>0</v>
      </c>
      <c r="Y19" s="180">
        <f t="shared" si="1"/>
        <v>0</v>
      </c>
      <c r="AA19" s="253" t="s">
        <v>1261</v>
      </c>
      <c r="AB19" s="257"/>
      <c r="AC19" s="257"/>
      <c r="AD19"/>
    </row>
    <row r="20" spans="2:30" ht="24.75" thickBot="1">
      <c r="B20" s="225"/>
      <c r="C20" s="225"/>
      <c r="D20" s="225"/>
      <c r="E20" s="225"/>
      <c r="F20" s="225"/>
      <c r="G20" s="225"/>
      <c r="H20" s="225"/>
      <c r="I20" s="225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6"/>
      <c r="U20" s="103" t="s">
        <v>896</v>
      </c>
      <c r="V20" s="105"/>
      <c r="W20" s="181">
        <f t="shared" si="0"/>
        <v>0</v>
      </c>
      <c r="X20" s="181">
        <f>SUM(X21:X22)</f>
        <v>0</v>
      </c>
      <c r="Y20" s="181">
        <f t="shared" si="1"/>
        <v>0</v>
      </c>
      <c r="AA20" s="252" t="s">
        <v>1262</v>
      </c>
      <c r="AB20" s="256"/>
      <c r="AC20" s="256"/>
      <c r="AD20"/>
    </row>
    <row r="21" spans="2:30" ht="15.75" thickBot="1">
      <c r="B21" s="225" t="s">
        <v>843</v>
      </c>
      <c r="C21" s="225" t="s">
        <v>846</v>
      </c>
      <c r="D21" s="225"/>
      <c r="E21" s="225"/>
      <c r="F21" s="225"/>
      <c r="G21" s="225"/>
      <c r="H21" s="225"/>
      <c r="I21" s="225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6"/>
      <c r="U21" s="102" t="s">
        <v>897</v>
      </c>
      <c r="V21" s="104" t="s">
        <v>1429</v>
      </c>
      <c r="W21" s="180">
        <f t="shared" si="0"/>
        <v>0</v>
      </c>
      <c r="X21" s="286">
        <f>(IFERROR(VLOOKUP(B21,'Balance Ag'!$B$7:$G$1000,6,0),0)*-1)-IFERROR(VLOOKUP(C21,'Balance Ag'!$B$7:$G$1000,6,0),0)</f>
        <v>0</v>
      </c>
      <c r="Y21" s="180">
        <f t="shared" si="1"/>
        <v>0</v>
      </c>
      <c r="AA21" s="253" t="s">
        <v>1263</v>
      </c>
      <c r="AB21" s="257"/>
      <c r="AC21" s="257"/>
      <c r="AD21"/>
    </row>
    <row r="22" spans="2:30" ht="15.75" thickBot="1">
      <c r="B22" s="225" t="s">
        <v>627</v>
      </c>
      <c r="C22" s="225" t="s">
        <v>1175</v>
      </c>
      <c r="D22" s="225"/>
      <c r="E22" s="225"/>
      <c r="F22" s="225"/>
      <c r="G22" s="225"/>
      <c r="H22" s="225"/>
      <c r="I22" s="225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6"/>
      <c r="U22" s="102" t="s">
        <v>898</v>
      </c>
      <c r="V22" s="104" t="s">
        <v>1430</v>
      </c>
      <c r="W22" s="180">
        <f t="shared" si="0"/>
        <v>0</v>
      </c>
      <c r="X22" s="169">
        <f>(IFERROR(VLOOKUP(B22,'Balance Ag'!$B$7:$G$1000,6,0),0)*-1)-IFERROR(VLOOKUP(C22,'Balance Ag'!$B$7:$G$1000,6,0),0)</f>
        <v>0</v>
      </c>
      <c r="Y22" s="180">
        <f t="shared" si="1"/>
        <v>0</v>
      </c>
      <c r="AA22" s="253" t="s">
        <v>1264</v>
      </c>
      <c r="AB22" s="257"/>
      <c r="AC22" s="257"/>
      <c r="AD22"/>
    </row>
    <row r="23" spans="2:30" ht="15.75" thickBot="1">
      <c r="B23" s="225"/>
      <c r="C23" s="225"/>
      <c r="D23" s="225"/>
      <c r="E23" s="225"/>
      <c r="F23" s="225"/>
      <c r="G23" s="225"/>
      <c r="H23" s="225"/>
      <c r="I23" s="225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6"/>
      <c r="U23" s="103" t="s">
        <v>899</v>
      </c>
      <c r="V23" s="105"/>
      <c r="W23" s="181">
        <f t="shared" si="0"/>
        <v>0</v>
      </c>
      <c r="X23" s="181">
        <f>SUM(X24)</f>
        <v>0</v>
      </c>
      <c r="Y23" s="181">
        <f t="shared" si="1"/>
        <v>0</v>
      </c>
      <c r="AA23" s="252" t="s">
        <v>1265</v>
      </c>
      <c r="AB23" s="256"/>
      <c r="AC23" s="256"/>
      <c r="AD23"/>
    </row>
    <row r="24" spans="2:30" ht="15.75" thickBot="1">
      <c r="B24" s="225" t="s">
        <v>1176</v>
      </c>
      <c r="C24" s="225"/>
      <c r="D24" s="225"/>
      <c r="E24" s="225"/>
      <c r="F24" s="225"/>
      <c r="G24" s="225"/>
      <c r="H24" s="225"/>
      <c r="I24" s="225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6"/>
      <c r="U24" s="102" t="s">
        <v>95</v>
      </c>
      <c r="V24" s="104">
        <v>43301</v>
      </c>
      <c r="W24" s="180">
        <f t="shared" si="0"/>
        <v>0</v>
      </c>
      <c r="X24" s="169">
        <f>(IFERROR(VLOOKUP(B24,'Balance Ag'!$B$7:$G$1000,6,0),0))*-1</f>
        <v>0</v>
      </c>
      <c r="Y24" s="180">
        <f t="shared" si="1"/>
        <v>0</v>
      </c>
      <c r="AA24" s="253" t="s">
        <v>1266</v>
      </c>
      <c r="AB24" s="257"/>
      <c r="AC24" s="257"/>
      <c r="AD24"/>
    </row>
    <row r="25" spans="2:30" ht="15.75" thickBot="1">
      <c r="B25" s="225"/>
      <c r="C25" s="225"/>
      <c r="D25" s="225"/>
      <c r="E25" s="225"/>
      <c r="F25" s="225"/>
      <c r="G25" s="225"/>
      <c r="H25" s="225"/>
      <c r="I25" s="225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6"/>
      <c r="U25" s="103" t="s">
        <v>900</v>
      </c>
      <c r="V25" s="105"/>
      <c r="W25" s="181">
        <f t="shared" si="0"/>
        <v>0</v>
      </c>
      <c r="X25" s="181">
        <f>SUM(X26:X30)</f>
        <v>0</v>
      </c>
      <c r="Y25" s="181">
        <f t="shared" si="1"/>
        <v>0</v>
      </c>
      <c r="AA25" s="252" t="s">
        <v>1267</v>
      </c>
      <c r="AB25" s="256"/>
      <c r="AC25" s="256"/>
      <c r="AD25"/>
    </row>
    <row r="26" spans="2:30" ht="15.75" thickBot="1">
      <c r="B26" s="225" t="s">
        <v>124</v>
      </c>
      <c r="C26" s="225" t="s">
        <v>833</v>
      </c>
      <c r="D26" s="225"/>
      <c r="E26" s="225"/>
      <c r="F26" s="225"/>
      <c r="G26" s="225"/>
      <c r="H26" s="225"/>
      <c r="I26" s="225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6"/>
      <c r="U26" s="102" t="s">
        <v>827</v>
      </c>
      <c r="V26" s="104" t="s">
        <v>1431</v>
      </c>
      <c r="W26" s="180">
        <f t="shared" si="0"/>
        <v>0</v>
      </c>
      <c r="X26" s="286">
        <f>(IFERROR(VLOOKUP(B26,'Balance Ag'!$B$7:$G$1000,6,0),0)*-1)-IFERROR(VLOOKUP(C26,'Balance Ag'!$B$7:$G$1000,6,0),0)</f>
        <v>0</v>
      </c>
      <c r="Y26" s="180">
        <f t="shared" si="1"/>
        <v>0</v>
      </c>
      <c r="AA26" s="253" t="s">
        <v>1268</v>
      </c>
      <c r="AB26" s="257"/>
      <c r="AC26" s="257"/>
      <c r="AD26"/>
    </row>
    <row r="27" spans="2:30" ht="15.75" thickBot="1">
      <c r="B27" s="225"/>
      <c r="C27" s="225"/>
      <c r="D27" s="225"/>
      <c r="E27" s="225"/>
      <c r="F27" s="225"/>
      <c r="G27" s="225"/>
      <c r="H27" s="225"/>
      <c r="I27" s="225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6"/>
      <c r="U27" s="102" t="s">
        <v>901</v>
      </c>
      <c r="V27" s="104"/>
      <c r="W27" s="180">
        <f t="shared" si="0"/>
        <v>0</v>
      </c>
      <c r="X27" s="180">
        <f>(IFERROR(VLOOKUP(B27,'Balance Ag'!$B$7:$G$1000,6,0),0)*-1)-IFERROR(VLOOKUP(C27,'Balance Ag'!$B$7:$G$1000,6,0),0)</f>
        <v>0</v>
      </c>
      <c r="Y27" s="180">
        <f t="shared" si="1"/>
        <v>0</v>
      </c>
      <c r="AA27" s="253" t="s">
        <v>1269</v>
      </c>
      <c r="AB27" s="257"/>
      <c r="AC27" s="257"/>
      <c r="AD27"/>
    </row>
    <row r="28" spans="2:30" ht="15.75" thickBot="1">
      <c r="B28" s="225" t="s">
        <v>1177</v>
      </c>
      <c r="C28" s="225" t="s">
        <v>1178</v>
      </c>
      <c r="D28" s="225"/>
      <c r="E28" s="225"/>
      <c r="F28" s="225"/>
      <c r="G28" s="225"/>
      <c r="H28" s="225"/>
      <c r="I28" s="225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6"/>
      <c r="U28" s="102" t="s">
        <v>902</v>
      </c>
      <c r="V28" s="104" t="s">
        <v>1432</v>
      </c>
      <c r="W28" s="180">
        <f t="shared" si="0"/>
        <v>0</v>
      </c>
      <c r="X28" s="169">
        <f>(IFERROR(VLOOKUP(B28,'Balance Ag'!$B$7:$G$1000,6,0),0)*-1)-IFERROR(VLOOKUP(C28,'Balance Ag'!$B$7:$G$1000,6,0),0)</f>
        <v>0</v>
      </c>
      <c r="Y28" s="180">
        <f t="shared" si="1"/>
        <v>0</v>
      </c>
      <c r="AA28" s="253" t="s">
        <v>1270</v>
      </c>
      <c r="AB28" s="257"/>
      <c r="AC28" s="257"/>
      <c r="AD28"/>
    </row>
    <row r="29" spans="2:30" ht="15.75" thickBot="1">
      <c r="B29" s="225" t="s">
        <v>125</v>
      </c>
      <c r="C29" s="225" t="s">
        <v>1179</v>
      </c>
      <c r="D29" s="225"/>
      <c r="E29" s="225"/>
      <c r="F29" s="225"/>
      <c r="G29" s="225"/>
      <c r="H29" s="225"/>
      <c r="I29" s="225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6"/>
      <c r="U29" s="102" t="s">
        <v>903</v>
      </c>
      <c r="V29" s="104" t="s">
        <v>1433</v>
      </c>
      <c r="W29" s="180">
        <f t="shared" si="0"/>
        <v>0</v>
      </c>
      <c r="X29" s="169">
        <f>(IFERROR(VLOOKUP(B29,'Balance Ag'!$B$7:$G$1000,6,0),0)*-1)-IFERROR(VLOOKUP(C29,'Balance Ag'!$B$7:$G$1000,6,0),0)</f>
        <v>0</v>
      </c>
      <c r="Y29" s="180">
        <f t="shared" si="1"/>
        <v>0</v>
      </c>
      <c r="AA29" s="253" t="s">
        <v>1271</v>
      </c>
      <c r="AB29" s="257"/>
      <c r="AC29" s="257"/>
      <c r="AD29"/>
    </row>
    <row r="30" spans="2:30" ht="15.75" thickBot="1">
      <c r="B30" s="225" t="s">
        <v>1180</v>
      </c>
      <c r="C30" s="225" t="s">
        <v>1181</v>
      </c>
      <c r="D30" s="225"/>
      <c r="E30" s="225"/>
      <c r="F30" s="225"/>
      <c r="G30" s="225"/>
      <c r="H30" s="225"/>
      <c r="I30" s="225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6"/>
      <c r="U30" s="102" t="s">
        <v>904</v>
      </c>
      <c r="V30" s="104" t="s">
        <v>1434</v>
      </c>
      <c r="W30" s="180">
        <f t="shared" si="0"/>
        <v>0</v>
      </c>
      <c r="X30" s="169">
        <f>(IFERROR(VLOOKUP(B30,'Balance Ag'!$B$7:$G$1000,6,0),0)*-1)-IFERROR(VLOOKUP(C30,'Balance Ag'!$B$7:$G$1000,6,0),0)</f>
        <v>0</v>
      </c>
      <c r="Y30" s="180">
        <f t="shared" si="1"/>
        <v>0</v>
      </c>
      <c r="AA30" s="253" t="s">
        <v>1272</v>
      </c>
      <c r="AB30" s="257"/>
      <c r="AC30" s="257"/>
      <c r="AD30"/>
    </row>
    <row r="31" spans="2:30" ht="15.75" thickBot="1">
      <c r="B31" s="225"/>
      <c r="C31" s="225"/>
      <c r="D31" s="225"/>
      <c r="E31" s="225"/>
      <c r="F31" s="225"/>
      <c r="G31" s="225"/>
      <c r="H31" s="225"/>
      <c r="I31" s="225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6"/>
      <c r="U31" s="103" t="s">
        <v>905</v>
      </c>
      <c r="V31" s="105"/>
      <c r="W31" s="181">
        <f t="shared" si="0"/>
        <v>0</v>
      </c>
      <c r="X31" s="181">
        <f>SUM(X32:X36)</f>
        <v>0</v>
      </c>
      <c r="Y31" s="181">
        <f t="shared" si="1"/>
        <v>0</v>
      </c>
      <c r="AA31" s="252" t="s">
        <v>1273</v>
      </c>
      <c r="AB31" s="256"/>
      <c r="AC31" s="256"/>
      <c r="AD31"/>
    </row>
    <row r="32" spans="2:30" ht="15.75" thickBot="1">
      <c r="B32" s="225" t="s">
        <v>1182</v>
      </c>
      <c r="C32" s="225" t="s">
        <v>1183</v>
      </c>
      <c r="D32" s="225"/>
      <c r="E32" s="225"/>
      <c r="F32" s="225"/>
      <c r="G32" s="225"/>
      <c r="H32" s="225"/>
      <c r="I32" s="225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6"/>
      <c r="U32" s="102" t="s">
        <v>906</v>
      </c>
      <c r="V32" s="104" t="s">
        <v>913</v>
      </c>
      <c r="W32" s="180">
        <f t="shared" si="0"/>
        <v>0</v>
      </c>
      <c r="X32" s="169">
        <f>(IFERROR(VLOOKUP(B32,'Balance Ag'!$B$7:$G$1000,6,0),0)+IFERROR(VLOOKUP(C32,'Balance Ag'!$B$7:$G$1000,6,0),0))*-1</f>
        <v>0</v>
      </c>
      <c r="Y32" s="180">
        <f t="shared" si="1"/>
        <v>0</v>
      </c>
      <c r="AA32" s="253" t="s">
        <v>1274</v>
      </c>
      <c r="AB32" s="257"/>
      <c r="AC32" s="257"/>
      <c r="AD32"/>
    </row>
    <row r="33" spans="2:30" ht="15.75" thickBot="1">
      <c r="B33" s="225" t="s">
        <v>1184</v>
      </c>
      <c r="C33" s="225"/>
      <c r="D33" s="225"/>
      <c r="E33" s="225"/>
      <c r="F33" s="225"/>
      <c r="G33" s="225"/>
      <c r="H33" s="225"/>
      <c r="I33" s="225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6"/>
      <c r="U33" s="102" t="s">
        <v>907</v>
      </c>
      <c r="V33" s="104">
        <v>46108</v>
      </c>
      <c r="W33" s="180">
        <f t="shared" si="0"/>
        <v>0</v>
      </c>
      <c r="X33" s="169">
        <f>(IFERROR(VLOOKUP(B33,'Balance Ag'!$B$7:$G$1000,6,0),0))*-1</f>
        <v>0</v>
      </c>
      <c r="Y33" s="180">
        <f t="shared" si="1"/>
        <v>0</v>
      </c>
      <c r="AA33" s="253" t="s">
        <v>1275</v>
      </c>
      <c r="AB33" s="257"/>
      <c r="AC33" s="257"/>
      <c r="AD33"/>
    </row>
    <row r="34" spans="2:30" ht="15.75" thickBot="1">
      <c r="B34" s="225" t="s">
        <v>1185</v>
      </c>
      <c r="C34" s="225"/>
      <c r="D34" s="225"/>
      <c r="E34" s="225"/>
      <c r="F34" s="225"/>
      <c r="G34" s="225"/>
      <c r="H34" s="225"/>
      <c r="I34" s="225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6"/>
      <c r="U34" s="102" t="s">
        <v>747</v>
      </c>
      <c r="V34" s="104">
        <v>43303</v>
      </c>
      <c r="W34" s="180">
        <f t="shared" si="0"/>
        <v>0</v>
      </c>
      <c r="X34" s="169">
        <f>(IFERROR(VLOOKUP(B34,'Balance Ag'!$B$7:$G$1000,6,0),0))*-1</f>
        <v>0</v>
      </c>
      <c r="Y34" s="180">
        <f t="shared" si="1"/>
        <v>0</v>
      </c>
      <c r="AA34" s="253" t="s">
        <v>1276</v>
      </c>
      <c r="AB34" s="257"/>
      <c r="AC34" s="257"/>
      <c r="AD34"/>
    </row>
    <row r="35" spans="2:30" ht="15.75" thickBot="1">
      <c r="B35" s="225" t="s">
        <v>126</v>
      </c>
      <c r="C35" s="225" t="s">
        <v>1186</v>
      </c>
      <c r="D35" s="225"/>
      <c r="E35" s="225"/>
      <c r="F35" s="225"/>
      <c r="G35" s="225"/>
      <c r="H35" s="225"/>
      <c r="I35" s="225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6"/>
      <c r="U35" s="102" t="s">
        <v>908</v>
      </c>
      <c r="V35" s="104" t="s">
        <v>1435</v>
      </c>
      <c r="W35" s="180">
        <f t="shared" si="0"/>
        <v>0</v>
      </c>
      <c r="X35" s="169">
        <f>(IFERROR(VLOOKUP(B35,'Balance Ag'!$B$7:$G$1000,6,0),0)*-1)-IFERROR(VLOOKUP(C35,'Balance Ag'!$B$7:$G$1000,6,0),0)</f>
        <v>0</v>
      </c>
      <c r="Y35" s="180">
        <f t="shared" si="1"/>
        <v>0</v>
      </c>
      <c r="AA35" s="253" t="s">
        <v>1277</v>
      </c>
      <c r="AB35" s="257"/>
      <c r="AC35" s="257"/>
      <c r="AD35"/>
    </row>
    <row r="36" spans="2:30" ht="29.25" thickBot="1">
      <c r="B36" s="225" t="s">
        <v>1187</v>
      </c>
      <c r="C36" s="225" t="s">
        <v>1188</v>
      </c>
      <c r="D36" s="225" t="s">
        <v>1189</v>
      </c>
      <c r="E36" s="225" t="s">
        <v>1190</v>
      </c>
      <c r="F36" s="225"/>
      <c r="G36" s="225" t="s">
        <v>1191</v>
      </c>
      <c r="H36" s="225" t="s">
        <v>1192</v>
      </c>
      <c r="I36" s="225" t="s">
        <v>1193</v>
      </c>
      <c r="J36" s="225" t="s">
        <v>1194</v>
      </c>
      <c r="K36" s="225" t="s">
        <v>1195</v>
      </c>
      <c r="L36" s="227" t="s">
        <v>1196</v>
      </c>
      <c r="M36" s="227"/>
      <c r="N36" s="227"/>
      <c r="O36" s="227"/>
      <c r="P36" s="227"/>
      <c r="Q36" s="227"/>
      <c r="R36" s="227"/>
      <c r="S36" s="227"/>
      <c r="T36" s="226"/>
      <c r="U36" s="102" t="s">
        <v>909</v>
      </c>
      <c r="V36" s="104" t="s">
        <v>915</v>
      </c>
      <c r="W36" s="180">
        <f t="shared" si="0"/>
        <v>0</v>
      </c>
      <c r="X36" s="169">
        <f>(IFERROR(VLOOKUP(B36,'Balance Ag'!$B$7:$G$1000,6,0),0)+IFERROR(VLOOKUP(C36,'Balance Ag'!$B$7:$G$1000,6,0),0)+IFERROR(VLOOKUP(D36,'Balance Ag'!$B$7:$G$1000,6,0),0)+IFERROR(VLOOKUP(E36,'Balance Ag'!$B$7:$G$1000,6,0),0)+IFERROR(VLOOKUP(G36,'Balance Ag'!$B$7:$G$1000,6,0),0)+IFERROR(VLOOKUP(H36,'Balance Ag'!$B$7:$G$1000,6,0),0)+IFERROR(VLOOKUP(I36,'Balance Ag'!$B$7:$G$1000,6,0),0)+IFERROR(VLOOKUP(J36,'Balance Ag'!$B$7:$G$1000,6,0),0)+IFERROR(VLOOKUP(K36,'Balance Ag'!$B$7:$G$1000,6,0),0)+IFERROR(VLOOKUP(L36,'Balance Ag'!$B$7:$G$1000,6,0),0))*-1</f>
        <v>0</v>
      </c>
      <c r="Y36" s="180">
        <f t="shared" si="1"/>
        <v>0</v>
      </c>
      <c r="AA36" s="253" t="s">
        <v>1278</v>
      </c>
      <c r="AB36" s="257"/>
      <c r="AC36" s="257"/>
      <c r="AD36"/>
    </row>
    <row r="37" spans="2:30" ht="15.75" thickBot="1">
      <c r="B37" s="225"/>
      <c r="C37" s="225"/>
      <c r="D37" s="225"/>
      <c r="E37" s="225"/>
      <c r="F37" s="225"/>
      <c r="G37" s="225"/>
      <c r="H37" s="225"/>
      <c r="I37" s="225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6"/>
      <c r="U37" s="103" t="s">
        <v>910</v>
      </c>
      <c r="V37" s="105"/>
      <c r="W37" s="181">
        <f t="shared" si="0"/>
        <v>0</v>
      </c>
      <c r="X37" s="181">
        <f>SUM(X38:X39)</f>
        <v>0</v>
      </c>
      <c r="Y37" s="181">
        <f t="shared" si="1"/>
        <v>0</v>
      </c>
      <c r="AA37" s="252" t="s">
        <v>1279</v>
      </c>
      <c r="AB37" s="256"/>
      <c r="AC37" s="256"/>
      <c r="AD37"/>
    </row>
    <row r="38" spans="2:30" ht="15.75" thickBot="1">
      <c r="B38" s="225" t="s">
        <v>844</v>
      </c>
      <c r="C38" s="225"/>
      <c r="D38" s="225"/>
      <c r="E38" s="225"/>
      <c r="F38" s="225"/>
      <c r="G38" s="225"/>
      <c r="H38" s="225"/>
      <c r="I38" s="225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6"/>
      <c r="U38" s="102" t="s">
        <v>911</v>
      </c>
      <c r="V38" s="104">
        <v>46102</v>
      </c>
      <c r="W38" s="180">
        <f t="shared" si="0"/>
        <v>0</v>
      </c>
      <c r="X38" s="169">
        <f>(IFERROR(VLOOKUP(B38,'Balance Ag'!$B$7:$G$1000,6,0),0))*-1</f>
        <v>0</v>
      </c>
      <c r="Y38" s="180">
        <f t="shared" si="1"/>
        <v>0</v>
      </c>
      <c r="AA38" s="253" t="s">
        <v>1280</v>
      </c>
      <c r="AB38" s="257"/>
      <c r="AC38" s="257"/>
      <c r="AD38"/>
    </row>
    <row r="39" spans="2:30" ht="57">
      <c r="B39" s="225" t="s">
        <v>1197</v>
      </c>
      <c r="C39" s="225" t="s">
        <v>1198</v>
      </c>
      <c r="D39" s="225" t="s">
        <v>563</v>
      </c>
      <c r="E39" s="225" t="s">
        <v>565</v>
      </c>
      <c r="F39" s="225" t="s">
        <v>1451</v>
      </c>
      <c r="G39" s="225" t="s">
        <v>1199</v>
      </c>
      <c r="H39" s="225" t="s">
        <v>1200</v>
      </c>
      <c r="I39" s="225" t="s">
        <v>303</v>
      </c>
      <c r="J39" s="227" t="s">
        <v>1187</v>
      </c>
      <c r="K39" s="227" t="s">
        <v>1188</v>
      </c>
      <c r="L39" s="227" t="s">
        <v>1189</v>
      </c>
      <c r="M39" s="227" t="s">
        <v>1190</v>
      </c>
      <c r="N39" s="227" t="s">
        <v>1191</v>
      </c>
      <c r="O39" s="227" t="s">
        <v>1192</v>
      </c>
      <c r="P39" s="227" t="s">
        <v>1193</v>
      </c>
      <c r="Q39" s="227" t="s">
        <v>1194</v>
      </c>
      <c r="R39" s="227" t="s">
        <v>1195</v>
      </c>
      <c r="S39" s="227" t="s">
        <v>1196</v>
      </c>
      <c r="T39" s="226" t="s">
        <v>1201</v>
      </c>
      <c r="U39" s="102" t="s">
        <v>912</v>
      </c>
      <c r="V39" s="104" t="s">
        <v>1448</v>
      </c>
      <c r="W39" s="180">
        <f t="shared" si="0"/>
        <v>0</v>
      </c>
      <c r="X39" s="169">
        <f>(IFERROR(VLOOKUP(B39,'Balance Ag'!$B$7:$G$1000,6,0),0)+IFERROR(VLOOKUP(C39,'Balance Ag'!$B$7:$G$1000,6,0),0)+IFERROR(VLOOKUP(D39,'Balance Ag'!$B$7:$G$1000,6,0),0)+IFERROR(VLOOKUP(E39,'Balance Ag'!$B$7:$G$1000,6,0),0)++IFERROR(VLOOKUP(F39,'Balance Ag'!$B$7:$G$1000,6,0),0)+IFERROR(VLOOKUP(G39,'Balance Ag'!$B$7:$G$1000,6,0),0)+IFERROR(VLOOKUP(H39,'Balance Ag'!$B$7:$G$1000,6,0),0)+IFERROR(VLOOKUP(I39,'Balance Ag'!$B$7:$G$1000,6,0),0)-IFERROR(VLOOKUP(J39,'Balance Ag'!$B$7:$G$1000,6,0),0)-IFERROR(VLOOKUP(K39,'Balance Ag'!$B$7:$G$1000,6,0),0)-IFERROR(VLOOKUP(L39,'Balance Ag'!$B$7:$G$1000,6,0),0)-IFERROR(VLOOKUP(M39,'Balance Ag'!$B$7:$G$1000,6,0),0)-IFERROR(VLOOKUP(N39,'Balance Ag'!$B$7:$G$1000,6,0),0)-IFERROR(VLOOKUP(O39,'Balance Ag'!$B$7:$G$1000,6,0),0)-IFERROR(VLOOKUP(P39,'Balance Ag'!$B$7:$G$1000,6,0),0)-IFERROR(VLOOKUP(Q39,'Balance Ag'!$B$7:$G$1000,6,0),0)-IFERROR(VLOOKUP(R39,'Balance Ag'!$B$7:$G$1000,6,0),0)-IFERROR(VLOOKUP(S39,'Balance Ag'!$B$7:$G$1000,6,0),0)-IFERROR(VLOOKUP(T39,'Balance Ag'!$B$7:$G$1000,6,0),0))*-1</f>
        <v>0</v>
      </c>
      <c r="Y39" s="180">
        <f t="shared" si="1"/>
        <v>0</v>
      </c>
      <c r="AA39" s="261" t="s">
        <v>1281</v>
      </c>
      <c r="AB39" s="268"/>
      <c r="AC39" s="268"/>
      <c r="AD39"/>
    </row>
    <row r="40" spans="2:30">
      <c r="U40" s="221"/>
      <c r="V40" s="222"/>
      <c r="W40" s="2"/>
      <c r="X40" s="2"/>
      <c r="Y40" s="2"/>
      <c r="AA40" s="290"/>
      <c r="AB40" s="291"/>
      <c r="AC40" s="291"/>
      <c r="AD40"/>
    </row>
    <row r="41" spans="2:30">
      <c r="U41" s="221"/>
      <c r="V41" s="222"/>
      <c r="W41" s="2"/>
      <c r="X41" s="2"/>
      <c r="Y41" s="2"/>
      <c r="AA41" s="290"/>
      <c r="AB41" s="291"/>
      <c r="AC41" s="291"/>
      <c r="AD41"/>
    </row>
    <row r="42" spans="2:30" ht="15.75" thickBot="1">
      <c r="U42" s="99" t="s">
        <v>5</v>
      </c>
      <c r="V42" s="85" t="s">
        <v>117</v>
      </c>
      <c r="W42" s="182"/>
      <c r="X42" s="182"/>
      <c r="Y42" s="182"/>
      <c r="AA42" s="275" t="s">
        <v>1282</v>
      </c>
      <c r="AB42" s="263"/>
      <c r="AC42" s="263"/>
      <c r="AD42"/>
    </row>
    <row r="43" spans="2:30" ht="15.75" thickBot="1">
      <c r="U43" s="100"/>
      <c r="V43" s="99" t="s">
        <v>346</v>
      </c>
      <c r="W43" s="3" t="s">
        <v>112</v>
      </c>
      <c r="X43" s="183" t="s">
        <v>113</v>
      </c>
      <c r="Y43" s="182" t="s">
        <v>118</v>
      </c>
      <c r="AA43" s="252" t="s">
        <v>1283</v>
      </c>
      <c r="AB43" s="256"/>
      <c r="AC43" s="256"/>
      <c r="AD43"/>
    </row>
    <row r="44" spans="2:30" ht="15.75" thickBot="1">
      <c r="U44" s="101"/>
      <c r="V44" s="101"/>
      <c r="W44" s="3"/>
      <c r="X44" s="3" t="s">
        <v>346</v>
      </c>
      <c r="Y44" s="182"/>
      <c r="AA44" s="253" t="s">
        <v>1284</v>
      </c>
      <c r="AB44" s="257"/>
      <c r="AC44" s="257"/>
      <c r="AD44"/>
    </row>
    <row r="45" spans="2:30" ht="15.75" thickBot="1"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6"/>
      <c r="U45" s="91" t="s">
        <v>812</v>
      </c>
      <c r="V45" s="109"/>
      <c r="W45" s="187">
        <f t="shared" ref="W45:W66" si="2">AB42</f>
        <v>0</v>
      </c>
      <c r="X45" s="187">
        <f>X46+X51+X52+X53+X57+X60+X61+X62+X66</f>
        <v>0</v>
      </c>
      <c r="Y45" s="187">
        <f>Y46+Y51+Y52+Y53+Y57+Y60+Y61+Y62+Y66</f>
        <v>0</v>
      </c>
      <c r="AA45" s="253" t="s">
        <v>1285</v>
      </c>
      <c r="AB45" s="257"/>
      <c r="AC45" s="257"/>
      <c r="AD45"/>
    </row>
    <row r="46" spans="2:30" ht="15.75" thickBot="1"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6"/>
      <c r="U46" s="106" t="s">
        <v>916</v>
      </c>
      <c r="V46" s="108"/>
      <c r="W46" s="188">
        <f t="shared" si="2"/>
        <v>0</v>
      </c>
      <c r="X46" s="188">
        <f>SUM(X47:X50)</f>
        <v>0</v>
      </c>
      <c r="Y46" s="188">
        <f>SUM(Y47:Y50)</f>
        <v>0</v>
      </c>
      <c r="AA46" s="253" t="s">
        <v>1286</v>
      </c>
      <c r="AB46" s="257"/>
      <c r="AC46" s="257"/>
      <c r="AD46"/>
    </row>
    <row r="47" spans="2:30" ht="15.75" thickBot="1">
      <c r="B47" s="225" t="s">
        <v>306</v>
      </c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6"/>
      <c r="U47" s="107" t="s">
        <v>53</v>
      </c>
      <c r="V47" s="104">
        <v>53101</v>
      </c>
      <c r="W47" s="189">
        <f t="shared" si="2"/>
        <v>0</v>
      </c>
      <c r="X47" s="169">
        <f>IFERROR(VLOOKUP(B47,'Balance Ag'!$B$7:$G$1000,6,0),0)</f>
        <v>0</v>
      </c>
      <c r="Y47" s="189">
        <f t="shared" ref="Y47:Y52" si="3">W47-X47</f>
        <v>0</v>
      </c>
      <c r="AA47" s="253" t="s">
        <v>1281</v>
      </c>
      <c r="AB47" s="257"/>
      <c r="AC47" s="257"/>
      <c r="AD47"/>
    </row>
    <row r="48" spans="2:30" ht="15.75" thickBot="1">
      <c r="B48" s="225" t="s">
        <v>316</v>
      </c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6"/>
      <c r="U48" s="107" t="s">
        <v>917</v>
      </c>
      <c r="V48" s="1">
        <v>53102</v>
      </c>
      <c r="W48" s="190">
        <f t="shared" si="2"/>
        <v>0</v>
      </c>
      <c r="X48" s="169">
        <f>IFERROR(VLOOKUP(B48,'Balance Ag'!$B$7:$G$1000,6,0),0)</f>
        <v>0</v>
      </c>
      <c r="Y48" s="190">
        <f t="shared" si="3"/>
        <v>0</v>
      </c>
      <c r="AA48" s="252" t="s">
        <v>1287</v>
      </c>
      <c r="AB48" s="256"/>
      <c r="AC48" s="256"/>
      <c r="AD48"/>
    </row>
    <row r="49" spans="2:30" ht="15.75" thickBot="1">
      <c r="B49" s="225" t="s">
        <v>320</v>
      </c>
      <c r="C49" s="225" t="s">
        <v>1202</v>
      </c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6"/>
      <c r="U49" s="107" t="s">
        <v>918</v>
      </c>
      <c r="V49" s="1" t="s">
        <v>1227</v>
      </c>
      <c r="W49" s="190">
        <f t="shared" si="2"/>
        <v>0</v>
      </c>
      <c r="X49" s="169">
        <f>IFERROR(VLOOKUP(B49,'Balance Ag'!$B$7:$G$1000,6,0),0)+IFERROR(VLOOKUP(C49,'Balance Ag'!$B$7:$G$1000,6,0),0)</f>
        <v>0</v>
      </c>
      <c r="Y49" s="190">
        <f t="shared" si="3"/>
        <v>0</v>
      </c>
      <c r="AA49" s="252" t="s">
        <v>1288</v>
      </c>
      <c r="AB49" s="256"/>
      <c r="AC49" s="256"/>
      <c r="AD49"/>
    </row>
    <row r="50" spans="2:30" ht="26.25" thickBot="1">
      <c r="B50" s="225" t="s">
        <v>845</v>
      </c>
      <c r="C50" s="225" t="s">
        <v>1203</v>
      </c>
      <c r="D50" s="225" t="s">
        <v>578</v>
      </c>
      <c r="E50" s="225" t="s">
        <v>1204</v>
      </c>
      <c r="F50" s="225"/>
      <c r="G50" s="225" t="s">
        <v>716</v>
      </c>
      <c r="H50" s="225" t="s">
        <v>1205</v>
      </c>
      <c r="I50" s="225" t="s">
        <v>828</v>
      </c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6"/>
      <c r="U50" s="107" t="s">
        <v>522</v>
      </c>
      <c r="V50" s="1" t="s">
        <v>927</v>
      </c>
      <c r="W50" s="190">
        <f t="shared" si="2"/>
        <v>0</v>
      </c>
      <c r="X50" s="169">
        <f>IFERROR(VLOOKUP(B50,'Balance Ag'!$B$7:$G$1000,6,0),0)+IFERROR(VLOOKUP(C50,'Balance Ag'!$B$7:$G$1000,6,0),0)+IFERROR(VLOOKUP(D50,'Balance Ag'!$B$7:$G$1000,6,0),0)+IFERROR(VLOOKUP(E50,'Balance Ag'!$B$7:$G$1000,6,0),0)+IFERROR(VLOOKUP(G50,'Balance Ag'!$B$7:$G$1000,6,0),0)+IFERROR(VLOOKUP(H50,'Balance Ag'!$B$7:$G$1000,6,0),0)+IFERROR(VLOOKUP(I50,'Balance Ag'!$B$7:$G$1000,6,0),0)</f>
        <v>0</v>
      </c>
      <c r="Y50" s="190">
        <f t="shared" si="3"/>
        <v>0</v>
      </c>
      <c r="AA50" s="252" t="s">
        <v>1289</v>
      </c>
      <c r="AB50" s="256"/>
      <c r="AC50" s="256"/>
      <c r="AD50"/>
    </row>
    <row r="51" spans="2:30" ht="15.75" thickBot="1">
      <c r="B51" s="225" t="s">
        <v>321</v>
      </c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6"/>
      <c r="U51" s="106" t="s">
        <v>919</v>
      </c>
      <c r="V51" s="108">
        <v>532</v>
      </c>
      <c r="W51" s="188">
        <f t="shared" si="2"/>
        <v>0</v>
      </c>
      <c r="X51" s="188">
        <f>IFERROR(VLOOKUP(B51,'Balance Ag'!$B$7:$G$1000,6,0),0)</f>
        <v>0</v>
      </c>
      <c r="Y51" s="188">
        <f t="shared" si="3"/>
        <v>0</v>
      </c>
      <c r="AA51" s="253" t="s">
        <v>1259</v>
      </c>
      <c r="AB51" s="257"/>
      <c r="AC51" s="257"/>
      <c r="AD51"/>
    </row>
    <row r="52" spans="2:30" ht="15.75" thickBot="1">
      <c r="B52" s="225" t="s">
        <v>131</v>
      </c>
      <c r="C52" s="225" t="s">
        <v>132</v>
      </c>
      <c r="D52" s="225" t="s">
        <v>133</v>
      </c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6"/>
      <c r="U52" s="106" t="s">
        <v>783</v>
      </c>
      <c r="V52" s="108" t="s">
        <v>130</v>
      </c>
      <c r="W52" s="188">
        <f t="shared" si="2"/>
        <v>0</v>
      </c>
      <c r="X52" s="188">
        <f>IFERROR(VLOOKUP(B52,'Balance Ag'!$B$7:$G$1000,6,0),0)+IFERROR(VLOOKUP(C52,'Balance Ag'!$B$7:$G$1000,6,0),0)+IFERROR(VLOOKUP(D52,'Balance Ag'!$B$7:$G$1000,6,0),0)</f>
        <v>0</v>
      </c>
      <c r="Y52" s="188">
        <f t="shared" si="3"/>
        <v>0</v>
      </c>
      <c r="AA52" s="253" t="s">
        <v>1260</v>
      </c>
      <c r="AB52" s="257"/>
      <c r="AC52" s="257"/>
      <c r="AD52"/>
    </row>
    <row r="53" spans="2:30" ht="15.75" thickBot="1">
      <c r="B53" s="225"/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6"/>
      <c r="U53" s="106" t="s">
        <v>784</v>
      </c>
      <c r="V53" s="108"/>
      <c r="W53" s="188">
        <f t="shared" si="2"/>
        <v>0</v>
      </c>
      <c r="X53" s="188">
        <f>SUM(X54:X56)</f>
        <v>0</v>
      </c>
      <c r="Y53" s="188">
        <f>SUM(Y54:Y56)</f>
        <v>0</v>
      </c>
      <c r="AA53" s="253" t="s">
        <v>1261</v>
      </c>
      <c r="AB53" s="257"/>
      <c r="AC53" s="257"/>
      <c r="AD53"/>
    </row>
    <row r="54" spans="2:30" ht="15.75" thickBot="1">
      <c r="B54" s="225" t="s">
        <v>135</v>
      </c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6"/>
      <c r="U54" s="107" t="s">
        <v>46</v>
      </c>
      <c r="V54" s="104">
        <v>541</v>
      </c>
      <c r="W54" s="189">
        <f t="shared" si="2"/>
        <v>0</v>
      </c>
      <c r="X54" s="169">
        <f>IFERROR(VLOOKUP(B54,'Balance Ag'!$B$7:$G$1000,6,0),0)</f>
        <v>0</v>
      </c>
      <c r="Y54" s="189">
        <f t="shared" ref="Y54:Y56" si="4">W54-X54</f>
        <v>0</v>
      </c>
      <c r="AA54" s="252" t="s">
        <v>1290</v>
      </c>
      <c r="AB54" s="256"/>
      <c r="AC54" s="256"/>
      <c r="AD54"/>
    </row>
    <row r="55" spans="2:30" ht="15.75" thickBot="1">
      <c r="B55" s="225" t="s">
        <v>138</v>
      </c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6"/>
      <c r="U55" s="107" t="s">
        <v>842</v>
      </c>
      <c r="V55" s="1">
        <v>542</v>
      </c>
      <c r="W55" s="190">
        <f t="shared" si="2"/>
        <v>0</v>
      </c>
      <c r="X55" s="169">
        <f>IFERROR(VLOOKUP(B55,'Balance Ag'!$B$7:$G$1000,6,0),0)</f>
        <v>0</v>
      </c>
      <c r="Y55" s="190">
        <f t="shared" si="4"/>
        <v>0</v>
      </c>
      <c r="AA55" s="253" t="s">
        <v>1291</v>
      </c>
      <c r="AB55" s="257"/>
      <c r="AC55" s="257"/>
      <c r="AD55"/>
    </row>
    <row r="56" spans="2:30" ht="15.75" thickBot="1">
      <c r="B56" s="225" t="s">
        <v>136</v>
      </c>
      <c r="C56" s="225" t="s">
        <v>137</v>
      </c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6"/>
      <c r="U56" s="107" t="s">
        <v>895</v>
      </c>
      <c r="V56" s="1" t="s">
        <v>928</v>
      </c>
      <c r="W56" s="190">
        <f t="shared" si="2"/>
        <v>0</v>
      </c>
      <c r="X56" s="169">
        <f>IFERROR(VLOOKUP(B56,'Balance Ag'!$B$7:$G$1000,6,0),0)+IFERROR(VLOOKUP(C56,'Balance Ag'!$B$7:$G$1000,6,0),0)</f>
        <v>0</v>
      </c>
      <c r="Y56" s="190">
        <f t="shared" si="4"/>
        <v>0</v>
      </c>
      <c r="AA56" s="253" t="s">
        <v>1292</v>
      </c>
      <c r="AB56" s="257"/>
      <c r="AC56" s="257"/>
      <c r="AD56"/>
    </row>
    <row r="57" spans="2:30" ht="15.75" thickBot="1"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6"/>
      <c r="U57" s="103" t="s">
        <v>920</v>
      </c>
      <c r="V57" s="110"/>
      <c r="W57" s="191">
        <f t="shared" si="2"/>
        <v>0</v>
      </c>
      <c r="X57" s="191">
        <f>SUM(X58:X59)</f>
        <v>0</v>
      </c>
      <c r="Y57" s="191">
        <f>SUM(Y58:Y59)</f>
        <v>0</v>
      </c>
      <c r="AA57" s="252" t="s">
        <v>1293</v>
      </c>
      <c r="AB57" s="256"/>
      <c r="AC57" s="256"/>
      <c r="AD57"/>
    </row>
    <row r="58" spans="2:30" ht="26.25" thickBot="1">
      <c r="B58" s="225" t="s">
        <v>752</v>
      </c>
      <c r="C58" s="225" t="s">
        <v>1206</v>
      </c>
      <c r="D58" s="225" t="s">
        <v>1207</v>
      </c>
      <c r="E58" s="225" t="s">
        <v>1208</v>
      </c>
      <c r="F58" s="225"/>
      <c r="G58" s="225" t="s">
        <v>1209</v>
      </c>
      <c r="H58" s="225" t="s">
        <v>1210</v>
      </c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6"/>
      <c r="U58" s="107" t="s">
        <v>921</v>
      </c>
      <c r="V58" s="1" t="s">
        <v>929</v>
      </c>
      <c r="W58" s="190">
        <f t="shared" si="2"/>
        <v>0</v>
      </c>
      <c r="X58" s="169">
        <f>IFERROR(VLOOKUP(B58,'Balance Ag'!$B$7:$G$1000,6,0),0)+IFERROR(VLOOKUP(C58,'Balance Ag'!$B$7:$G$1000,6,0),0)+IFERROR(VLOOKUP(D58,'Balance Ag'!$B$7:$G$1000,6,0),0)+IFERROR(VLOOKUP(E58,'Balance Ag'!$B$7:$G$1000,6,0),0)+IFERROR(VLOOKUP(G58,'Balance Ag'!$B$7:$G$1000,6,0),0)+IFERROR(VLOOKUP(H58,'Balance Ag'!$B$7:$G$1000,6,0),0)</f>
        <v>0</v>
      </c>
      <c r="Y58" s="190">
        <f t="shared" ref="Y58:Y61" si="5">W58-X58</f>
        <v>0</v>
      </c>
      <c r="AA58" s="252" t="s">
        <v>1294</v>
      </c>
      <c r="AB58" s="256"/>
      <c r="AC58" s="256"/>
      <c r="AD58"/>
    </row>
    <row r="59" spans="2:30" ht="15.75" thickBot="1">
      <c r="B59" s="225" t="s">
        <v>753</v>
      </c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6"/>
      <c r="U59" s="107" t="s">
        <v>848</v>
      </c>
      <c r="V59" s="104">
        <v>56341</v>
      </c>
      <c r="W59" s="189">
        <f t="shared" si="2"/>
        <v>0</v>
      </c>
      <c r="X59" s="169">
        <f>IFERROR(VLOOKUP(B59,'Balance Ag'!$B$7:$G$1000,6,0),0)</f>
        <v>0</v>
      </c>
      <c r="Y59" s="189">
        <f t="shared" si="5"/>
        <v>0</v>
      </c>
      <c r="AA59" s="252" t="s">
        <v>1295</v>
      </c>
      <c r="AB59" s="256"/>
      <c r="AC59" s="256"/>
      <c r="AD59"/>
    </row>
    <row r="60" spans="2:30" ht="15.75" thickBot="1">
      <c r="B60" s="225" t="s">
        <v>849</v>
      </c>
      <c r="C60" s="225" t="s">
        <v>829</v>
      </c>
      <c r="D60" s="225" t="s">
        <v>1211</v>
      </c>
      <c r="E60" s="225" t="s">
        <v>1212</v>
      </c>
      <c r="F60" s="225"/>
      <c r="G60" s="225" t="s">
        <v>1213</v>
      </c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6"/>
      <c r="U60" s="103" t="s">
        <v>922</v>
      </c>
      <c r="V60" s="110" t="s">
        <v>930</v>
      </c>
      <c r="W60" s="191">
        <f t="shared" si="2"/>
        <v>0</v>
      </c>
      <c r="X60" s="191">
        <f>IFERROR(VLOOKUP(B60,'Balance Ag'!$B$7:$G$1000,6,0),0)+IFERROR(VLOOKUP(C60,'Balance Ag'!$B$7:$G$1000,6,0),0)+IFERROR(VLOOKUP(D60,'Balance Ag'!$B$7:$G$1000,6,0),0)+IFERROR(VLOOKUP(E60,'Balance Ag'!$B$7:$G$1000,6,0),0)+IFERROR(VLOOKUP(G60,'Balance Ag'!$B$7:$G$1000,6,0),0)</f>
        <v>0</v>
      </c>
      <c r="Y60" s="191">
        <f t="shared" si="5"/>
        <v>0</v>
      </c>
      <c r="AA60" s="253" t="s">
        <v>1276</v>
      </c>
      <c r="AB60" s="257"/>
      <c r="AC60" s="257"/>
      <c r="AD60"/>
    </row>
    <row r="61" spans="2:30" ht="29.25" thickBot="1">
      <c r="B61" s="225" t="s">
        <v>1214</v>
      </c>
      <c r="C61" s="225" t="s">
        <v>1215</v>
      </c>
      <c r="D61" s="225" t="s">
        <v>1216</v>
      </c>
      <c r="E61" s="225" t="s">
        <v>1217</v>
      </c>
      <c r="F61" s="225"/>
      <c r="G61" s="225" t="s">
        <v>1218</v>
      </c>
      <c r="H61" s="225" t="s">
        <v>1219</v>
      </c>
      <c r="I61" s="225" t="s">
        <v>1220</v>
      </c>
      <c r="J61" s="225" t="s">
        <v>1221</v>
      </c>
      <c r="K61" s="225" t="s">
        <v>1223</v>
      </c>
      <c r="L61" s="225" t="s">
        <v>1224</v>
      </c>
      <c r="M61" s="225"/>
      <c r="N61" s="225"/>
      <c r="O61" s="225"/>
      <c r="P61" s="225"/>
      <c r="Q61" s="225"/>
      <c r="R61" s="225"/>
      <c r="S61" s="225"/>
      <c r="T61" s="226"/>
      <c r="U61" s="103" t="s">
        <v>923</v>
      </c>
      <c r="V61" s="111" t="s">
        <v>931</v>
      </c>
      <c r="W61" s="191">
        <f t="shared" si="2"/>
        <v>0</v>
      </c>
      <c r="X61" s="191">
        <f>IFERROR(VLOOKUP(B61,'Balance Ag'!$B$7:$G$1000,6,0),0)+IFERROR(VLOOKUP(C61,'Balance Ag'!$B$7:$G$1000,6,0),0)+IFERROR(VLOOKUP(D61,'Balance Ag'!$B$7:$G$1000,6,0),0)+IFERROR(VLOOKUP(E61,'Balance Ag'!$B$7:$G$1000,6,0),0)+IFERROR(VLOOKUP(G61,'Balance Ag'!$B$7:$G$1000,6,0),0)+IFERROR(VLOOKUP(H61,'Balance Ag'!$B$7:$G$1000,6,0),0)+IFERROR(VLOOKUP(I61,'Balance Ag'!$B$7:$G$1000,6,0),0)+IFERROR(VLOOKUP(J61,'Balance Ag'!$B$7:$G$1000,6,0),0)+IFERROR(VLOOKUP(K61,'Balance Ag'!$B$7:$G$1000,6,0),0)+IFERROR(VLOOKUP(L61,'Balance Ag'!$B$7:$G$1000,6,0),0)</f>
        <v>0</v>
      </c>
      <c r="Y61" s="191">
        <f t="shared" si="5"/>
        <v>0</v>
      </c>
      <c r="AA61" s="253" t="s">
        <v>1296</v>
      </c>
      <c r="AB61" s="257"/>
      <c r="AC61" s="257"/>
      <c r="AD61"/>
    </row>
    <row r="62" spans="2:30" ht="15.75" thickBot="1">
      <c r="B62" s="225"/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6"/>
      <c r="U62" s="103" t="s">
        <v>924</v>
      </c>
      <c r="V62" s="110"/>
      <c r="W62" s="191">
        <f t="shared" si="2"/>
        <v>0</v>
      </c>
      <c r="X62" s="191">
        <f>SUM(X63:X65)</f>
        <v>0</v>
      </c>
      <c r="Y62" s="191">
        <f>SUM(Y63:Y65)</f>
        <v>0</v>
      </c>
      <c r="AA62" s="253" t="s">
        <v>1281</v>
      </c>
      <c r="AB62" s="257"/>
      <c r="AC62" s="257"/>
      <c r="AD62"/>
    </row>
    <row r="63" spans="2:30" ht="15.75" thickBot="1">
      <c r="B63" s="225" t="s">
        <v>788</v>
      </c>
      <c r="C63" s="225" t="s">
        <v>397</v>
      </c>
      <c r="D63" s="225" t="s">
        <v>1225</v>
      </c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6"/>
      <c r="U63" s="107" t="s">
        <v>747</v>
      </c>
      <c r="V63" s="104" t="s">
        <v>932</v>
      </c>
      <c r="W63" s="189">
        <f t="shared" si="2"/>
        <v>0</v>
      </c>
      <c r="X63" s="189">
        <f>IFERROR(VLOOKUP(B63,'Balance Ag'!$B$7:$G$1000,6,0),0)+IFERROR(VLOOKUP(C63,'Balance Ag'!$B$7:$G$1000,6,0),0)+IFERROR(VLOOKUP(D63,'Balance Ag'!$B$7:$G$1000,6,0),0)</f>
        <v>0</v>
      </c>
      <c r="Y63" s="189">
        <f t="shared" ref="Y63:Y66" si="6">W63-X63</f>
        <v>0</v>
      </c>
      <c r="AA63" s="252" t="s">
        <v>1297</v>
      </c>
      <c r="AB63" s="256"/>
      <c r="AC63" s="256"/>
      <c r="AD63"/>
    </row>
    <row r="64" spans="2:30" ht="15.75" thickBot="1">
      <c r="B64" s="225" t="s">
        <v>1222</v>
      </c>
      <c r="C64" s="225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6"/>
      <c r="U64" s="107" t="s">
        <v>925</v>
      </c>
      <c r="V64" s="1">
        <v>56358</v>
      </c>
      <c r="W64" s="190">
        <f t="shared" si="2"/>
        <v>0</v>
      </c>
      <c r="X64" s="190">
        <f>IFERROR(VLOOKUP(B64,'Balance Ag'!$B$7:$G$1000,6,0),0)</f>
        <v>0</v>
      </c>
      <c r="Y64" s="190">
        <f t="shared" si="6"/>
        <v>0</v>
      </c>
      <c r="AA64" s="251" t="s">
        <v>1298</v>
      </c>
      <c r="AB64" s="256"/>
      <c r="AC64" s="256"/>
      <c r="AD64"/>
    </row>
    <row r="65" spans="2:30" ht="15.75" thickBot="1">
      <c r="B65" s="225" t="s">
        <v>396</v>
      </c>
      <c r="C65" s="225" t="s">
        <v>398</v>
      </c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6"/>
      <c r="U65" s="107" t="s">
        <v>522</v>
      </c>
      <c r="V65" s="1" t="s">
        <v>933</v>
      </c>
      <c r="W65" s="190">
        <f t="shared" si="2"/>
        <v>0</v>
      </c>
      <c r="X65" s="190">
        <f>IFERROR(VLOOKUP(B65,'Balance Ag'!$B$7:$G$1000,6,0),0)+IFERROR(VLOOKUP(C65,'Balance Ag'!$B$7:$G$1000,6,0),0)</f>
        <v>0</v>
      </c>
      <c r="Y65" s="190">
        <f t="shared" si="6"/>
        <v>0</v>
      </c>
      <c r="AA65" s="251" t="s">
        <v>1299</v>
      </c>
      <c r="AB65" s="256"/>
      <c r="AC65" s="256"/>
      <c r="AD65"/>
    </row>
    <row r="66" spans="2:30" ht="29.25" thickBot="1">
      <c r="B66" s="225" t="s">
        <v>304</v>
      </c>
      <c r="C66" s="225" t="s">
        <v>1226</v>
      </c>
      <c r="D66" s="225" t="s">
        <v>246</v>
      </c>
      <c r="E66" s="225" t="s">
        <v>140</v>
      </c>
      <c r="F66" s="225"/>
      <c r="G66" s="225" t="s">
        <v>847</v>
      </c>
      <c r="H66" s="225" t="s">
        <v>1173</v>
      </c>
      <c r="I66" s="225" t="s">
        <v>1174</v>
      </c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6"/>
      <c r="U66" s="103" t="s">
        <v>926</v>
      </c>
      <c r="V66" s="111" t="s">
        <v>934</v>
      </c>
      <c r="W66" s="191">
        <f t="shared" si="2"/>
        <v>0</v>
      </c>
      <c r="X66" s="191">
        <f>IFERROR(VLOOKUP(B66,'Balance Ag'!$B$7:$G$1000,6,0),0)+IFERROR(VLOOKUP(C66,'Balance Ag'!$B$7:$G$1000,6,0),0)+IFERROR(VLOOKUP(D66,'Balance Ag'!$B$7:$G$1000,6,0),0)+IFERROR(VLOOKUP(E66,'Balance Ag'!$B$7:$G$1000,6,0),0)+IFERROR(VLOOKUP(G66,'Balance Ag'!$B$7:$G$1000,6,0),0)+IFERROR(VLOOKUP(H66,'Balance Ag'!$B$7:$G$1000,6,0),0)+IFERROR(VLOOKUP(I66,'Balance Ag'!$B$7:$G$1000,6,0),0)</f>
        <v>0</v>
      </c>
      <c r="Y66" s="191">
        <f t="shared" si="6"/>
        <v>0</v>
      </c>
      <c r="AA66" s="254" t="s">
        <v>935</v>
      </c>
      <c r="AB66" s="256"/>
      <c r="AC66" s="256"/>
      <c r="AD66"/>
    </row>
    <row r="67" spans="2:30">
      <c r="U67" s="30"/>
      <c r="V67" s="221"/>
      <c r="W67" s="223"/>
      <c r="X67" s="223"/>
      <c r="Y67" s="223"/>
      <c r="AA67" s="255" t="s">
        <v>890</v>
      </c>
      <c r="AB67" s="258"/>
      <c r="AC67" s="258"/>
    </row>
    <row r="68" spans="2:30">
      <c r="B68" s="225" t="s">
        <v>1201</v>
      </c>
      <c r="C68" s="225" t="s">
        <v>1228</v>
      </c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6"/>
      <c r="U68" s="91" t="s">
        <v>936</v>
      </c>
      <c r="V68" s="109" t="s">
        <v>1439</v>
      </c>
      <c r="W68" s="187">
        <f>AB64</f>
        <v>0</v>
      </c>
      <c r="X68" s="187">
        <f>(IFERROR(VLOOKUP(B68,'Balance Ag'!$B$7:$G$1000,6,0),0)*-1)-IFERROR(VLOOKUP(C68,'Balance Ag'!$B$7:$G$1000,6,0),0)</f>
        <v>0</v>
      </c>
      <c r="Y68" s="187">
        <f t="shared" ref="Y68:Y72" si="7">W68-X68</f>
        <v>0</v>
      </c>
      <c r="AA68" s="83"/>
      <c r="AB68"/>
    </row>
    <row r="69" spans="2:30">
      <c r="B69" s="225" t="s">
        <v>258</v>
      </c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6"/>
      <c r="U69" s="91" t="s">
        <v>937</v>
      </c>
      <c r="V69" s="109">
        <v>562</v>
      </c>
      <c r="W69" s="187">
        <f>AB65</f>
        <v>0</v>
      </c>
      <c r="X69" s="187">
        <f>IFERROR(VLOOKUP(B69,'Balance Ag'!$B$7:$G$1000,6,0),0)</f>
        <v>0</v>
      </c>
      <c r="Y69" s="187">
        <f t="shared" si="7"/>
        <v>0</v>
      </c>
    </row>
    <row r="70" spans="2:30">
      <c r="U70" s="30"/>
      <c r="V70" s="221"/>
      <c r="W70" s="223"/>
      <c r="X70" s="223"/>
      <c r="Y70" s="223"/>
    </row>
    <row r="71" spans="2:30" ht="42.75">
      <c r="B71" s="225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6"/>
      <c r="U71" s="91" t="s">
        <v>935</v>
      </c>
      <c r="V71" s="302" t="s">
        <v>1440</v>
      </c>
      <c r="W71" s="187">
        <f>AB66</f>
        <v>0</v>
      </c>
      <c r="X71" s="187">
        <f>+X12-X45+X68-X69</f>
        <v>0</v>
      </c>
      <c r="Y71" s="187">
        <f>+W71-X71</f>
        <v>0</v>
      </c>
    </row>
    <row r="72" spans="2:30"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6"/>
      <c r="U72" s="91" t="s">
        <v>890</v>
      </c>
      <c r="V72" s="109"/>
      <c r="W72" s="187">
        <f>AB67</f>
        <v>0</v>
      </c>
      <c r="X72" s="187"/>
      <c r="Y72" s="187">
        <f t="shared" si="7"/>
        <v>0</v>
      </c>
    </row>
    <row r="73" spans="2:30">
      <c r="U73" s="30"/>
      <c r="V73" s="221"/>
      <c r="W73" s="2"/>
      <c r="X73" s="2"/>
      <c r="Y73" s="2"/>
    </row>
    <row r="74" spans="2:30">
      <c r="U74" s="37" t="s">
        <v>141</v>
      </c>
      <c r="V74" s="36" t="s">
        <v>142</v>
      </c>
      <c r="W74" s="3">
        <f>+W12-W45</f>
        <v>0</v>
      </c>
      <c r="X74" s="3">
        <f>+X12-X45</f>
        <v>0</v>
      </c>
      <c r="Y74" s="3">
        <f>W74-X74</f>
        <v>0</v>
      </c>
    </row>
  </sheetData>
  <mergeCells count="13">
    <mergeCell ref="AA5:AA6"/>
    <mergeCell ref="AB5:AC6"/>
    <mergeCell ref="AD5:AD6"/>
    <mergeCell ref="AA7:AA8"/>
    <mergeCell ref="AB7:AC8"/>
    <mergeCell ref="AD7:AD8"/>
    <mergeCell ref="U3:V4"/>
    <mergeCell ref="AD3:AD4"/>
    <mergeCell ref="AA1:AA2"/>
    <mergeCell ref="AB1:AB2"/>
    <mergeCell ref="AC1:AC2"/>
    <mergeCell ref="AA3:AA4"/>
    <mergeCell ref="AB3:AC4"/>
  </mergeCells>
  <printOptions horizontalCentered="1"/>
  <pageMargins left="0.11811023622047245" right="0.11811023622047245" top="0.35433070866141736" bottom="0.15748031496062992" header="0.19685039370078741" footer="0"/>
  <pageSetup scale="85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V47"/>
  <sheetViews>
    <sheetView topLeftCell="A2" zoomScale="80" zoomScaleNormal="80" workbookViewId="0">
      <selection activeCell="L5" sqref="L5:P5"/>
    </sheetView>
  </sheetViews>
  <sheetFormatPr baseColWidth="10" defaultRowHeight="15"/>
  <cols>
    <col min="1" max="1" width="11.42578125" style="81"/>
    <col min="2" max="2" width="3.42578125" style="81" hidden="1" customWidth="1"/>
    <col min="3" max="3" width="44.28515625" style="81" bestFit="1" customWidth="1"/>
    <col min="4" max="4" width="7.140625" style="81" bestFit="1" customWidth="1"/>
    <col min="5" max="5" width="13.7109375" style="81" bestFit="1" customWidth="1"/>
    <col min="6" max="6" width="12.42578125" style="81" bestFit="1" customWidth="1"/>
    <col min="7" max="7" width="9.85546875" style="81" bestFit="1" customWidth="1"/>
    <col min="8" max="8" width="10.28515625" style="81" bestFit="1" customWidth="1"/>
    <col min="9" max="9" width="13.7109375" style="81" bestFit="1" customWidth="1"/>
    <col min="10" max="10" width="12.42578125" style="81" bestFit="1" customWidth="1"/>
    <col min="11" max="11" width="23.85546875" style="81" bestFit="1" customWidth="1"/>
    <col min="12" max="12" width="11" style="81" bestFit="1" customWidth="1"/>
    <col min="13" max="13" width="13.7109375" style="81" bestFit="1" customWidth="1"/>
    <col min="14" max="14" width="12.42578125" style="81" bestFit="1" customWidth="1"/>
    <col min="15" max="15" width="11.7109375" style="81" bestFit="1" customWidth="1"/>
    <col min="16" max="16" width="11.5703125" style="81" bestFit="1" customWidth="1"/>
    <col min="17" max="17" width="44.28515625" style="81" bestFit="1" customWidth="1"/>
    <col min="18" max="18" width="7.140625" style="81" bestFit="1" customWidth="1"/>
    <col min="19" max="19" width="13.7109375" style="81" bestFit="1" customWidth="1"/>
    <col min="20" max="20" width="12.42578125" style="81" bestFit="1" customWidth="1"/>
    <col min="21" max="21" width="9.85546875" style="81" bestFit="1" customWidth="1"/>
    <col min="22" max="22" width="13.5703125" style="81" bestFit="1" customWidth="1"/>
    <col min="23" max="16384" width="11.42578125" style="81"/>
  </cols>
  <sheetData>
    <row r="1" spans="2:22">
      <c r="C1" s="112" t="s">
        <v>269</v>
      </c>
      <c r="D1" s="30"/>
      <c r="E1" s="83"/>
      <c r="F1" s="83"/>
      <c r="G1" s="83"/>
      <c r="K1" s="273" t="s">
        <v>269</v>
      </c>
      <c r="L1" s="379" t="str">
        <f>'EE RR'!AB1:AB2</f>
        <v>NOMBRE DEL SERVICIO</v>
      </c>
      <c r="M1" s="379"/>
      <c r="N1" s="379"/>
      <c r="O1" s="379"/>
      <c r="P1" s="379"/>
    </row>
    <row r="2" spans="2:22">
      <c r="C2" s="355" t="s">
        <v>790</v>
      </c>
      <c r="D2" s="355"/>
      <c r="E2" s="83"/>
      <c r="F2" s="83"/>
      <c r="G2" s="83"/>
      <c r="K2" s="273"/>
      <c r="L2" s="354" t="s">
        <v>790</v>
      </c>
      <c r="M2" s="354"/>
      <c r="N2" s="354"/>
      <c r="O2" s="354"/>
      <c r="P2" s="354"/>
    </row>
    <row r="3" spans="2:22">
      <c r="C3" s="355" t="s">
        <v>791</v>
      </c>
      <c r="D3" s="355"/>
      <c r="E3" s="83"/>
      <c r="F3" s="83"/>
      <c r="G3" s="83"/>
      <c r="K3" s="271"/>
      <c r="L3" s="354"/>
      <c r="M3" s="354"/>
      <c r="N3" s="354"/>
      <c r="O3" s="354"/>
      <c r="P3" s="354"/>
    </row>
    <row r="4" spans="2:22">
      <c r="C4" s="113"/>
      <c r="D4" s="29"/>
      <c r="E4" s="83"/>
      <c r="F4" s="83"/>
      <c r="G4" s="83"/>
      <c r="K4" s="271"/>
      <c r="L4" s="354" t="s">
        <v>1444</v>
      </c>
      <c r="M4" s="354"/>
      <c r="N4" s="354"/>
      <c r="O4" s="354"/>
      <c r="P4" s="354"/>
    </row>
    <row r="5" spans="2:22">
      <c r="C5" s="113" t="s">
        <v>792</v>
      </c>
      <c r="D5" s="29"/>
      <c r="E5" s="83"/>
      <c r="F5" s="83"/>
      <c r="G5" s="83"/>
      <c r="K5" s="271"/>
      <c r="L5" s="354" t="s">
        <v>792</v>
      </c>
      <c r="M5" s="354"/>
      <c r="N5" s="354"/>
      <c r="O5" s="354"/>
      <c r="P5" s="354"/>
    </row>
    <row r="6" spans="2:22">
      <c r="C6" s="113" t="s">
        <v>793</v>
      </c>
      <c r="D6" s="29"/>
      <c r="E6" s="83"/>
      <c r="F6" s="83"/>
      <c r="G6" s="83"/>
      <c r="K6" s="271"/>
      <c r="L6" s="354" t="s">
        <v>1438</v>
      </c>
      <c r="M6" s="354"/>
      <c r="N6" s="354"/>
      <c r="O6" s="354"/>
      <c r="P6" s="354"/>
    </row>
    <row r="7" spans="2:22">
      <c r="C7" s="83"/>
      <c r="D7" s="29"/>
      <c r="E7" s="83"/>
      <c r="F7" s="83"/>
      <c r="G7" s="83"/>
      <c r="H7" s="83"/>
      <c r="I7" s="29"/>
      <c r="K7" s="271"/>
      <c r="L7" s="354" t="s">
        <v>793</v>
      </c>
      <c r="M7" s="354"/>
      <c r="N7" s="354"/>
      <c r="O7" s="354"/>
      <c r="P7" s="354"/>
    </row>
    <row r="8" spans="2:22">
      <c r="K8" s="271"/>
      <c r="L8" s="272"/>
      <c r="M8" s="272"/>
      <c r="N8" s="272"/>
      <c r="O8" s="272"/>
      <c r="P8" s="272"/>
    </row>
    <row r="9" spans="2:22" ht="15.75" thickBot="1">
      <c r="D9" s="372" t="s">
        <v>1441</v>
      </c>
      <c r="E9" s="372"/>
      <c r="F9" s="372"/>
      <c r="G9" s="373"/>
      <c r="H9" s="374" t="s">
        <v>113</v>
      </c>
      <c r="I9" s="375"/>
      <c r="J9" s="375"/>
      <c r="K9" s="376"/>
      <c r="L9" s="374" t="s">
        <v>118</v>
      </c>
      <c r="M9" s="375"/>
      <c r="N9" s="375"/>
      <c r="O9" s="376"/>
      <c r="Q9" s="303"/>
      <c r="R9" s="29"/>
      <c r="S9" s="29"/>
      <c r="T9" s="303"/>
    </row>
    <row r="10" spans="2:22" ht="15.75" thickBot="1">
      <c r="C10" s="304" t="s">
        <v>794</v>
      </c>
      <c r="D10" s="368" t="s">
        <v>1361</v>
      </c>
      <c r="E10" s="369"/>
      <c r="F10" s="368" t="s">
        <v>795</v>
      </c>
      <c r="G10" s="370"/>
      <c r="H10" s="371" t="s">
        <v>1361</v>
      </c>
      <c r="I10" s="371"/>
      <c r="J10" s="377" t="s">
        <v>795</v>
      </c>
      <c r="K10" s="378"/>
      <c r="L10" s="371" t="s">
        <v>1361</v>
      </c>
      <c r="M10" s="371"/>
      <c r="N10" s="377" t="s">
        <v>795</v>
      </c>
      <c r="O10" s="378"/>
      <c r="P10" s="29"/>
      <c r="Q10" s="380" t="s">
        <v>794</v>
      </c>
      <c r="R10" s="382" t="s">
        <v>1361</v>
      </c>
      <c r="S10" s="382"/>
      <c r="T10" s="382" t="s">
        <v>795</v>
      </c>
      <c r="U10" s="382"/>
      <c r="V10" s="383"/>
    </row>
    <row r="11" spans="2:22" ht="15.75" thickBot="1">
      <c r="C11" s="305"/>
      <c r="D11" s="306" t="s">
        <v>1362</v>
      </c>
      <c r="E11" s="307" t="s">
        <v>1363</v>
      </c>
      <c r="F11" s="308" t="s">
        <v>796</v>
      </c>
      <c r="G11" s="307" t="s">
        <v>797</v>
      </c>
      <c r="H11" s="306" t="s">
        <v>1362</v>
      </c>
      <c r="I11" s="307" t="s">
        <v>1363</v>
      </c>
      <c r="J11" s="308" t="s">
        <v>796</v>
      </c>
      <c r="K11" s="307" t="s">
        <v>797</v>
      </c>
      <c r="L11" s="306" t="s">
        <v>1362</v>
      </c>
      <c r="M11" s="307" t="s">
        <v>1363</v>
      </c>
      <c r="N11" s="308" t="s">
        <v>796</v>
      </c>
      <c r="O11" s="307" t="s">
        <v>797</v>
      </c>
      <c r="Q11" s="381"/>
      <c r="R11" s="279" t="s">
        <v>1362</v>
      </c>
      <c r="S11" s="279" t="s">
        <v>1363</v>
      </c>
      <c r="T11" s="279" t="s">
        <v>796</v>
      </c>
      <c r="U11" s="279" t="s">
        <v>797</v>
      </c>
      <c r="V11" s="280" t="s">
        <v>1364</v>
      </c>
    </row>
    <row r="12" spans="2:22" ht="15.75" thickBot="1">
      <c r="B12" s="225" t="s">
        <v>1234</v>
      </c>
      <c r="C12" s="309" t="s">
        <v>798</v>
      </c>
      <c r="D12" s="310">
        <f>+R12</f>
        <v>0</v>
      </c>
      <c r="E12" s="311">
        <f>S12</f>
        <v>0</v>
      </c>
      <c r="F12" s="312">
        <f>T12</f>
        <v>0</v>
      </c>
      <c r="G12" s="313">
        <f>U12</f>
        <v>0</v>
      </c>
      <c r="H12" s="314"/>
      <c r="I12" s="313"/>
      <c r="J12" s="312"/>
      <c r="K12" s="313"/>
      <c r="L12" s="314">
        <f>D12-H12</f>
        <v>0</v>
      </c>
      <c r="M12" s="313">
        <f>E12-I12</f>
        <v>0</v>
      </c>
      <c r="N12" s="312">
        <f>F12-J12</f>
        <v>0</v>
      </c>
      <c r="O12" s="313">
        <f>G12-K12</f>
        <v>0</v>
      </c>
      <c r="Q12" s="315" t="s">
        <v>798</v>
      </c>
      <c r="R12" s="316"/>
      <c r="S12" s="316"/>
      <c r="T12" s="316"/>
      <c r="U12" s="316"/>
      <c r="V12" s="317"/>
    </row>
    <row r="13" spans="2:22" ht="15.75" thickBot="1">
      <c r="B13" s="225" t="s">
        <v>1235</v>
      </c>
      <c r="C13" s="318" t="s">
        <v>799</v>
      </c>
      <c r="D13" s="319">
        <f t="shared" ref="D13:D26" si="0">+R13</f>
        <v>0</v>
      </c>
      <c r="E13" s="320">
        <f t="shared" ref="E13:G26" si="1">S13</f>
        <v>0</v>
      </c>
      <c r="F13" s="321">
        <f t="shared" si="1"/>
        <v>0</v>
      </c>
      <c r="G13" s="322">
        <f t="shared" si="1"/>
        <v>0</v>
      </c>
      <c r="H13" s="323"/>
      <c r="I13" s="322"/>
      <c r="J13" s="321"/>
      <c r="K13" s="322"/>
      <c r="L13" s="323">
        <f t="shared" ref="L13:O26" si="2">D13-H13</f>
        <v>0</v>
      </c>
      <c r="M13" s="322">
        <f t="shared" si="2"/>
        <v>0</v>
      </c>
      <c r="N13" s="321">
        <f t="shared" si="2"/>
        <v>0</v>
      </c>
      <c r="O13" s="322">
        <f t="shared" si="2"/>
        <v>0</v>
      </c>
      <c r="Q13" s="253" t="s">
        <v>799</v>
      </c>
      <c r="R13" s="266"/>
      <c r="S13" s="266"/>
      <c r="T13" s="266"/>
      <c r="U13" s="266"/>
      <c r="V13" s="257"/>
    </row>
    <row r="14" spans="2:22" ht="15.75" thickBot="1">
      <c r="B14" s="225" t="s">
        <v>1230</v>
      </c>
      <c r="C14" s="318" t="s">
        <v>800</v>
      </c>
      <c r="D14" s="319">
        <f t="shared" si="0"/>
        <v>0</v>
      </c>
      <c r="E14" s="320">
        <f t="shared" si="1"/>
        <v>0</v>
      </c>
      <c r="F14" s="321">
        <f t="shared" si="1"/>
        <v>0</v>
      </c>
      <c r="G14" s="322">
        <f t="shared" si="1"/>
        <v>0</v>
      </c>
      <c r="H14" s="323"/>
      <c r="I14" s="322"/>
      <c r="J14" s="321"/>
      <c r="K14" s="322"/>
      <c r="L14" s="323">
        <f t="shared" si="2"/>
        <v>0</v>
      </c>
      <c r="M14" s="322">
        <f t="shared" si="2"/>
        <v>0</v>
      </c>
      <c r="N14" s="321">
        <f t="shared" si="2"/>
        <v>0</v>
      </c>
      <c r="O14" s="322">
        <f t="shared" si="2"/>
        <v>0</v>
      </c>
      <c r="Q14" s="253" t="s">
        <v>800</v>
      </c>
      <c r="R14" s="266"/>
      <c r="S14" s="266"/>
      <c r="T14" s="266"/>
      <c r="U14" s="266"/>
      <c r="V14" s="257"/>
    </row>
    <row r="15" spans="2:22" ht="15.75" thickBot="1">
      <c r="B15" s="225" t="s">
        <v>1236</v>
      </c>
      <c r="C15" s="318" t="s">
        <v>801</v>
      </c>
      <c r="D15" s="319">
        <f t="shared" si="0"/>
        <v>0</v>
      </c>
      <c r="E15" s="320">
        <f t="shared" si="1"/>
        <v>0</v>
      </c>
      <c r="F15" s="321">
        <f t="shared" si="1"/>
        <v>0</v>
      </c>
      <c r="G15" s="322">
        <f t="shared" si="1"/>
        <v>0</v>
      </c>
      <c r="H15" s="323"/>
      <c r="I15" s="322"/>
      <c r="J15" s="321"/>
      <c r="K15" s="322"/>
      <c r="L15" s="323">
        <f t="shared" si="2"/>
        <v>0</v>
      </c>
      <c r="M15" s="322">
        <f t="shared" si="2"/>
        <v>0</v>
      </c>
      <c r="N15" s="321">
        <f t="shared" si="2"/>
        <v>0</v>
      </c>
      <c r="O15" s="322">
        <f t="shared" si="2"/>
        <v>0</v>
      </c>
      <c r="Q15" s="253" t="s">
        <v>801</v>
      </c>
      <c r="R15" s="266"/>
      <c r="S15" s="266"/>
      <c r="T15" s="266"/>
      <c r="U15" s="266"/>
      <c r="V15" s="257"/>
    </row>
    <row r="16" spans="2:22" ht="15.75" thickBot="1">
      <c r="B16" s="225" t="s">
        <v>1231</v>
      </c>
      <c r="C16" s="318" t="s">
        <v>802</v>
      </c>
      <c r="D16" s="319">
        <f t="shared" si="0"/>
        <v>0</v>
      </c>
      <c r="E16" s="320">
        <f t="shared" si="1"/>
        <v>0</v>
      </c>
      <c r="F16" s="321">
        <f t="shared" si="1"/>
        <v>0</v>
      </c>
      <c r="G16" s="322">
        <f t="shared" si="1"/>
        <v>0</v>
      </c>
      <c r="H16" s="323"/>
      <c r="I16" s="322"/>
      <c r="J16" s="321"/>
      <c r="K16" s="322"/>
      <c r="L16" s="323">
        <f t="shared" si="2"/>
        <v>0</v>
      </c>
      <c r="M16" s="322">
        <f t="shared" si="2"/>
        <v>0</v>
      </c>
      <c r="N16" s="321">
        <f t="shared" si="2"/>
        <v>0</v>
      </c>
      <c r="O16" s="322">
        <f t="shared" si="2"/>
        <v>0</v>
      </c>
      <c r="Q16" s="253" t="s">
        <v>802</v>
      </c>
      <c r="R16" s="266"/>
      <c r="S16" s="266"/>
      <c r="T16" s="266"/>
      <c r="U16" s="266"/>
      <c r="V16" s="257"/>
    </row>
    <row r="17" spans="2:22" ht="15.75" thickBot="1">
      <c r="B17" s="225" t="s">
        <v>1232</v>
      </c>
      <c r="C17" s="318" t="s">
        <v>938</v>
      </c>
      <c r="D17" s="319">
        <f t="shared" si="0"/>
        <v>0</v>
      </c>
      <c r="E17" s="320">
        <f t="shared" si="1"/>
        <v>0</v>
      </c>
      <c r="F17" s="321">
        <f t="shared" si="1"/>
        <v>0</v>
      </c>
      <c r="G17" s="322">
        <f t="shared" si="1"/>
        <v>0</v>
      </c>
      <c r="H17" s="323"/>
      <c r="I17" s="322"/>
      <c r="J17" s="321"/>
      <c r="K17" s="322"/>
      <c r="L17" s="323">
        <f t="shared" si="2"/>
        <v>0</v>
      </c>
      <c r="M17" s="322">
        <f t="shared" si="2"/>
        <v>0</v>
      </c>
      <c r="N17" s="321">
        <f t="shared" si="2"/>
        <v>0</v>
      </c>
      <c r="O17" s="322">
        <f t="shared" si="2"/>
        <v>0</v>
      </c>
      <c r="Q17" s="253" t="s">
        <v>1365</v>
      </c>
      <c r="R17" s="266"/>
      <c r="S17" s="266"/>
      <c r="T17" s="266"/>
      <c r="U17" s="266"/>
      <c r="V17" s="257"/>
    </row>
    <row r="18" spans="2:22" ht="15.75" thickBot="1">
      <c r="B18" s="225" t="s">
        <v>1233</v>
      </c>
      <c r="C18" s="318" t="s">
        <v>803</v>
      </c>
      <c r="D18" s="319">
        <f t="shared" si="0"/>
        <v>0</v>
      </c>
      <c r="E18" s="320">
        <f t="shared" si="1"/>
        <v>0</v>
      </c>
      <c r="F18" s="321">
        <f t="shared" si="1"/>
        <v>0</v>
      </c>
      <c r="G18" s="322">
        <f t="shared" si="1"/>
        <v>0</v>
      </c>
      <c r="H18" s="323"/>
      <c r="I18" s="322"/>
      <c r="J18" s="321"/>
      <c r="K18" s="322"/>
      <c r="L18" s="323">
        <f t="shared" si="2"/>
        <v>0</v>
      </c>
      <c r="M18" s="322">
        <f t="shared" si="2"/>
        <v>0</v>
      </c>
      <c r="N18" s="321">
        <f t="shared" si="2"/>
        <v>0</v>
      </c>
      <c r="O18" s="322">
        <f t="shared" si="2"/>
        <v>0</v>
      </c>
      <c r="Q18" s="253" t="s">
        <v>803</v>
      </c>
      <c r="R18" s="266"/>
      <c r="S18" s="266"/>
      <c r="T18" s="266"/>
      <c r="U18" s="266"/>
      <c r="V18" s="257"/>
    </row>
    <row r="19" spans="2:22" ht="15.75" thickBot="1">
      <c r="B19" s="225" t="s">
        <v>1237</v>
      </c>
      <c r="C19" s="318" t="s">
        <v>804</v>
      </c>
      <c r="D19" s="319">
        <f t="shared" si="0"/>
        <v>0</v>
      </c>
      <c r="E19" s="320">
        <f t="shared" si="1"/>
        <v>0</v>
      </c>
      <c r="F19" s="321">
        <f t="shared" si="1"/>
        <v>0</v>
      </c>
      <c r="G19" s="322">
        <f t="shared" si="1"/>
        <v>0</v>
      </c>
      <c r="H19" s="323"/>
      <c r="I19" s="322"/>
      <c r="J19" s="321"/>
      <c r="K19" s="322"/>
      <c r="L19" s="323">
        <f t="shared" si="2"/>
        <v>0</v>
      </c>
      <c r="M19" s="322">
        <f t="shared" si="2"/>
        <v>0</v>
      </c>
      <c r="N19" s="321">
        <f t="shared" si="2"/>
        <v>0</v>
      </c>
      <c r="O19" s="322">
        <f t="shared" si="2"/>
        <v>0</v>
      </c>
      <c r="Q19" s="253" t="s">
        <v>804</v>
      </c>
      <c r="R19" s="266"/>
      <c r="S19" s="266"/>
      <c r="T19" s="266"/>
      <c r="U19" s="266"/>
      <c r="V19" s="257"/>
    </row>
    <row r="20" spans="2:22" ht="15.75" thickBot="1">
      <c r="B20" s="225" t="s">
        <v>275</v>
      </c>
      <c r="C20" s="318" t="s">
        <v>805</v>
      </c>
      <c r="D20" s="319">
        <f t="shared" si="0"/>
        <v>0</v>
      </c>
      <c r="E20" s="320">
        <f t="shared" si="1"/>
        <v>0</v>
      </c>
      <c r="F20" s="321">
        <f t="shared" si="1"/>
        <v>0</v>
      </c>
      <c r="G20" s="322">
        <f t="shared" si="1"/>
        <v>0</v>
      </c>
      <c r="H20" s="323"/>
      <c r="I20" s="322"/>
      <c r="J20" s="321"/>
      <c r="K20" s="322"/>
      <c r="L20" s="323">
        <f t="shared" si="2"/>
        <v>0</v>
      </c>
      <c r="M20" s="322">
        <f t="shared" si="2"/>
        <v>0</v>
      </c>
      <c r="N20" s="321">
        <f t="shared" si="2"/>
        <v>0</v>
      </c>
      <c r="O20" s="322">
        <f t="shared" si="2"/>
        <v>0</v>
      </c>
      <c r="Q20" s="253" t="s">
        <v>805</v>
      </c>
      <c r="R20" s="266"/>
      <c r="S20" s="266"/>
      <c r="T20" s="266"/>
      <c r="U20" s="266"/>
      <c r="V20" s="257"/>
    </row>
    <row r="21" spans="2:22" ht="15.75" thickBot="1">
      <c r="B21" s="225" t="s">
        <v>634</v>
      </c>
      <c r="C21" s="318" t="s">
        <v>806</v>
      </c>
      <c r="D21" s="319">
        <f t="shared" si="0"/>
        <v>0</v>
      </c>
      <c r="E21" s="320">
        <f t="shared" si="1"/>
        <v>0</v>
      </c>
      <c r="F21" s="321">
        <f t="shared" si="1"/>
        <v>0</v>
      </c>
      <c r="G21" s="322">
        <f t="shared" si="1"/>
        <v>0</v>
      </c>
      <c r="H21" s="323"/>
      <c r="I21" s="322"/>
      <c r="J21" s="321"/>
      <c r="K21" s="322"/>
      <c r="L21" s="323">
        <f t="shared" si="2"/>
        <v>0</v>
      </c>
      <c r="M21" s="322">
        <f t="shared" si="2"/>
        <v>0</v>
      </c>
      <c r="N21" s="321">
        <f t="shared" si="2"/>
        <v>0</v>
      </c>
      <c r="O21" s="322">
        <f t="shared" si="2"/>
        <v>0</v>
      </c>
      <c r="Q21" s="253" t="s">
        <v>806</v>
      </c>
      <c r="R21" s="266"/>
      <c r="S21" s="266"/>
      <c r="T21" s="266"/>
      <c r="U21" s="266"/>
      <c r="V21" s="257"/>
    </row>
    <row r="22" spans="2:22" ht="15.75" thickBot="1">
      <c r="B22" s="225" t="s">
        <v>551</v>
      </c>
      <c r="C22" s="318" t="s">
        <v>807</v>
      </c>
      <c r="D22" s="319">
        <f t="shared" si="0"/>
        <v>0</v>
      </c>
      <c r="E22" s="320">
        <f t="shared" si="1"/>
        <v>0</v>
      </c>
      <c r="F22" s="321">
        <f t="shared" si="1"/>
        <v>0</v>
      </c>
      <c r="G22" s="322">
        <f t="shared" si="1"/>
        <v>0</v>
      </c>
      <c r="H22" s="323"/>
      <c r="I22" s="322"/>
      <c r="J22" s="321"/>
      <c r="K22" s="322"/>
      <c r="L22" s="323">
        <f t="shared" si="2"/>
        <v>0</v>
      </c>
      <c r="M22" s="322">
        <f t="shared" si="2"/>
        <v>0</v>
      </c>
      <c r="N22" s="321">
        <f t="shared" si="2"/>
        <v>0</v>
      </c>
      <c r="O22" s="322">
        <f t="shared" si="2"/>
        <v>0</v>
      </c>
      <c r="Q22" s="253" t="s">
        <v>807</v>
      </c>
      <c r="R22" s="266"/>
      <c r="S22" s="266"/>
      <c r="T22" s="266"/>
      <c r="U22" s="266"/>
      <c r="V22" s="257"/>
    </row>
    <row r="23" spans="2:22" ht="15.75" thickBot="1">
      <c r="B23" s="225" t="s">
        <v>284</v>
      </c>
      <c r="C23" s="318" t="s">
        <v>808</v>
      </c>
      <c r="D23" s="319">
        <f t="shared" si="0"/>
        <v>0</v>
      </c>
      <c r="E23" s="320">
        <f t="shared" si="1"/>
        <v>0</v>
      </c>
      <c r="F23" s="321">
        <f t="shared" si="1"/>
        <v>0</v>
      </c>
      <c r="G23" s="322">
        <f t="shared" si="1"/>
        <v>0</v>
      </c>
      <c r="H23" s="323"/>
      <c r="I23" s="322"/>
      <c r="J23" s="321"/>
      <c r="K23" s="322"/>
      <c r="L23" s="323">
        <f t="shared" si="2"/>
        <v>0</v>
      </c>
      <c r="M23" s="322">
        <f t="shared" si="2"/>
        <v>0</v>
      </c>
      <c r="N23" s="321">
        <f t="shared" si="2"/>
        <v>0</v>
      </c>
      <c r="O23" s="322">
        <f t="shared" si="2"/>
        <v>0</v>
      </c>
      <c r="Q23" s="253" t="s">
        <v>808</v>
      </c>
      <c r="R23" s="266"/>
      <c r="S23" s="266"/>
      <c r="T23" s="266"/>
      <c r="U23" s="266"/>
      <c r="V23" s="257"/>
    </row>
    <row r="24" spans="2:22" ht="15.75" thickBot="1">
      <c r="B24" s="225"/>
      <c r="C24" s="324" t="s">
        <v>809</v>
      </c>
      <c r="D24" s="325">
        <f t="shared" si="0"/>
        <v>0</v>
      </c>
      <c r="E24" s="326">
        <f t="shared" si="1"/>
        <v>0</v>
      </c>
      <c r="F24" s="327">
        <f t="shared" si="1"/>
        <v>0</v>
      </c>
      <c r="G24" s="328">
        <f t="shared" si="1"/>
        <v>0</v>
      </c>
      <c r="H24" s="329">
        <f>SUM(H12:H23)</f>
        <v>0</v>
      </c>
      <c r="I24" s="328">
        <f>SUM(I12:I23)</f>
        <v>0</v>
      </c>
      <c r="J24" s="327">
        <f>SUM(J12:J23)</f>
        <v>0</v>
      </c>
      <c r="K24" s="328">
        <f>SUM(K12:K23)</f>
        <v>0</v>
      </c>
      <c r="L24" s="329">
        <f t="shared" si="2"/>
        <v>0</v>
      </c>
      <c r="M24" s="328">
        <f t="shared" si="2"/>
        <v>0</v>
      </c>
      <c r="N24" s="327">
        <f t="shared" si="2"/>
        <v>0</v>
      </c>
      <c r="O24" s="328">
        <f t="shared" si="2"/>
        <v>0</v>
      </c>
      <c r="Q24" s="252" t="s">
        <v>809</v>
      </c>
      <c r="R24" s="265"/>
      <c r="S24" s="265"/>
      <c r="T24" s="265"/>
      <c r="U24" s="265"/>
      <c r="V24" s="256"/>
    </row>
    <row r="25" spans="2:22" ht="15.75" thickBot="1">
      <c r="B25" s="225" t="s">
        <v>557</v>
      </c>
      <c r="C25" s="330" t="s">
        <v>810</v>
      </c>
      <c r="D25" s="331">
        <f t="shared" si="0"/>
        <v>0</v>
      </c>
      <c r="E25" s="332">
        <f t="shared" si="1"/>
        <v>0</v>
      </c>
      <c r="F25" s="333">
        <f t="shared" si="1"/>
        <v>0</v>
      </c>
      <c r="G25" s="334">
        <f t="shared" si="1"/>
        <v>0</v>
      </c>
      <c r="H25" s="335"/>
      <c r="I25" s="334"/>
      <c r="J25" s="333"/>
      <c r="K25" s="334"/>
      <c r="L25" s="335">
        <f t="shared" si="2"/>
        <v>0</v>
      </c>
      <c r="M25" s="334">
        <f t="shared" si="2"/>
        <v>0</v>
      </c>
      <c r="N25" s="333">
        <f t="shared" si="2"/>
        <v>0</v>
      </c>
      <c r="O25" s="334">
        <f t="shared" si="2"/>
        <v>0</v>
      </c>
      <c r="Q25" s="253" t="s">
        <v>810</v>
      </c>
      <c r="R25" s="266"/>
      <c r="S25" s="266"/>
      <c r="T25" s="266"/>
      <c r="U25" s="266"/>
      <c r="V25" s="257"/>
    </row>
    <row r="26" spans="2:22" ht="15.75" thickBot="1">
      <c r="B26" s="225"/>
      <c r="C26" s="336" t="s">
        <v>811</v>
      </c>
      <c r="D26" s="337">
        <f t="shared" si="0"/>
        <v>0</v>
      </c>
      <c r="E26" s="338">
        <f t="shared" si="1"/>
        <v>0</v>
      </c>
      <c r="F26" s="339">
        <f t="shared" si="1"/>
        <v>0</v>
      </c>
      <c r="G26" s="340">
        <f t="shared" si="1"/>
        <v>0</v>
      </c>
      <c r="H26" s="341">
        <f>H24+H25</f>
        <v>0</v>
      </c>
      <c r="I26" s="340">
        <f>I24+I25</f>
        <v>0</v>
      </c>
      <c r="J26" s="339">
        <f>J24+J25</f>
        <v>0</v>
      </c>
      <c r="K26" s="340">
        <f>K24+K25</f>
        <v>0</v>
      </c>
      <c r="L26" s="341">
        <f t="shared" si="2"/>
        <v>0</v>
      </c>
      <c r="M26" s="340">
        <f t="shared" si="2"/>
        <v>0</v>
      </c>
      <c r="N26" s="339">
        <f t="shared" si="2"/>
        <v>0</v>
      </c>
      <c r="O26" s="340">
        <f t="shared" si="2"/>
        <v>0</v>
      </c>
      <c r="Q26" s="276" t="s">
        <v>811</v>
      </c>
      <c r="R26" s="278"/>
      <c r="S26" s="278"/>
      <c r="T26" s="278"/>
      <c r="U26" s="278"/>
      <c r="V26" s="258"/>
    </row>
    <row r="27" spans="2:22"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Q27" s="281"/>
      <c r="R27" s="282"/>
      <c r="S27" s="282"/>
      <c r="T27" s="282"/>
      <c r="U27" s="282"/>
      <c r="V27" s="282"/>
    </row>
    <row r="28" spans="2:22" ht="15.75" thickBot="1">
      <c r="C28" s="80"/>
      <c r="D28" s="384" t="s">
        <v>112</v>
      </c>
      <c r="E28" s="384"/>
      <c r="F28" s="384"/>
      <c r="G28" s="385"/>
      <c r="H28" s="386" t="s">
        <v>113</v>
      </c>
      <c r="I28" s="384"/>
      <c r="J28" s="384"/>
      <c r="K28" s="385"/>
      <c r="L28" s="386" t="s">
        <v>118</v>
      </c>
      <c r="M28" s="384"/>
      <c r="N28" s="384"/>
      <c r="O28" s="385"/>
      <c r="Q28" s="80"/>
      <c r="R28" s="82"/>
      <c r="S28" s="82"/>
      <c r="T28" s="82"/>
      <c r="U28" s="82"/>
      <c r="V28" s="82"/>
    </row>
    <row r="29" spans="2:22" ht="15.75" thickBot="1">
      <c r="B29" s="225"/>
      <c r="C29" s="114" t="s">
        <v>812</v>
      </c>
      <c r="D29" s="364" t="s">
        <v>1361</v>
      </c>
      <c r="E29" s="365"/>
      <c r="F29" s="364" t="s">
        <v>795</v>
      </c>
      <c r="G29" s="366"/>
      <c r="H29" s="367" t="s">
        <v>1361</v>
      </c>
      <c r="I29" s="367"/>
      <c r="J29" s="387" t="s">
        <v>795</v>
      </c>
      <c r="K29" s="388"/>
      <c r="L29" s="367" t="s">
        <v>1361</v>
      </c>
      <c r="M29" s="367"/>
      <c r="N29" s="387" t="s">
        <v>795</v>
      </c>
      <c r="O29" s="388"/>
      <c r="Q29" s="380" t="s">
        <v>812</v>
      </c>
      <c r="R29" s="389" t="s">
        <v>1361</v>
      </c>
      <c r="S29" s="389"/>
      <c r="T29" s="389" t="s">
        <v>795</v>
      </c>
      <c r="U29" s="389"/>
      <c r="V29" s="390"/>
    </row>
    <row r="30" spans="2:22" ht="15.75" thickBot="1">
      <c r="B30" s="225"/>
      <c r="C30" s="118"/>
      <c r="D30" s="342" t="s">
        <v>1362</v>
      </c>
      <c r="E30" s="343" t="s">
        <v>1363</v>
      </c>
      <c r="F30" s="344" t="s">
        <v>796</v>
      </c>
      <c r="G30" s="343" t="s">
        <v>797</v>
      </c>
      <c r="H30" s="342" t="s">
        <v>1362</v>
      </c>
      <c r="I30" s="343" t="s">
        <v>1363</v>
      </c>
      <c r="J30" s="344" t="s">
        <v>796</v>
      </c>
      <c r="K30" s="343" t="s">
        <v>797</v>
      </c>
      <c r="L30" s="342" t="s">
        <v>1362</v>
      </c>
      <c r="M30" s="343" t="s">
        <v>1363</v>
      </c>
      <c r="N30" s="344" t="s">
        <v>796</v>
      </c>
      <c r="O30" s="343" t="s">
        <v>797</v>
      </c>
      <c r="Q30" s="381"/>
      <c r="R30" s="292" t="s">
        <v>1362</v>
      </c>
      <c r="S30" s="292" t="s">
        <v>1363</v>
      </c>
      <c r="T30" s="292" t="s">
        <v>796</v>
      </c>
      <c r="U30" s="292" t="s">
        <v>797</v>
      </c>
      <c r="V30" s="293" t="s">
        <v>1366</v>
      </c>
    </row>
    <row r="31" spans="2:22" ht="15.75" thickBot="1">
      <c r="B31" s="225" t="s">
        <v>289</v>
      </c>
      <c r="C31" s="120" t="s">
        <v>813</v>
      </c>
      <c r="D31" s="310">
        <f>R31</f>
        <v>0</v>
      </c>
      <c r="E31" s="311">
        <f>S31</f>
        <v>0</v>
      </c>
      <c r="F31" s="312">
        <f>T31</f>
        <v>0</v>
      </c>
      <c r="G31" s="313">
        <f>U31</f>
        <v>0</v>
      </c>
      <c r="H31" s="314"/>
      <c r="I31" s="313"/>
      <c r="J31" s="312"/>
      <c r="K31" s="313"/>
      <c r="L31" s="314">
        <f>D31-H31</f>
        <v>0</v>
      </c>
      <c r="M31" s="313">
        <f>E31-I31</f>
        <v>0</v>
      </c>
      <c r="N31" s="312">
        <f>F31-J31</f>
        <v>0</v>
      </c>
      <c r="O31" s="313">
        <f>G31-K31</f>
        <v>0</v>
      </c>
      <c r="Q31" s="315" t="s">
        <v>813</v>
      </c>
      <c r="R31" s="316"/>
      <c r="S31" s="316"/>
      <c r="T31" s="316"/>
      <c r="U31" s="316"/>
      <c r="V31" s="317"/>
    </row>
    <row r="32" spans="2:22" ht="15.75" thickBot="1">
      <c r="B32" s="225" t="s">
        <v>562</v>
      </c>
      <c r="C32" s="116" t="s">
        <v>814</v>
      </c>
      <c r="D32" s="319">
        <f t="shared" ref="D32:G47" si="3">R32</f>
        <v>0</v>
      </c>
      <c r="E32" s="320">
        <f t="shared" si="3"/>
        <v>0</v>
      </c>
      <c r="F32" s="321">
        <f t="shared" si="3"/>
        <v>0</v>
      </c>
      <c r="G32" s="322">
        <f t="shared" si="3"/>
        <v>0</v>
      </c>
      <c r="H32" s="323"/>
      <c r="I32" s="322"/>
      <c r="J32" s="321"/>
      <c r="K32" s="322"/>
      <c r="L32" s="323">
        <f t="shared" ref="L32:O47" si="4">D32-H32</f>
        <v>0</v>
      </c>
      <c r="M32" s="322">
        <f t="shared" si="4"/>
        <v>0</v>
      </c>
      <c r="N32" s="321">
        <f t="shared" si="4"/>
        <v>0</v>
      </c>
      <c r="O32" s="322">
        <f t="shared" si="4"/>
        <v>0</v>
      </c>
      <c r="Q32" s="253" t="s">
        <v>814</v>
      </c>
      <c r="R32" s="266"/>
      <c r="S32" s="266"/>
      <c r="T32" s="266"/>
      <c r="U32" s="266"/>
      <c r="V32" s="257"/>
    </row>
    <row r="33" spans="2:22" ht="15.75" thickBot="1">
      <c r="B33" s="225" t="s">
        <v>708</v>
      </c>
      <c r="C33" s="116" t="s">
        <v>815</v>
      </c>
      <c r="D33" s="319">
        <f t="shared" si="3"/>
        <v>0</v>
      </c>
      <c r="E33" s="320">
        <f t="shared" si="3"/>
        <v>0</v>
      </c>
      <c r="F33" s="321">
        <f t="shared" si="3"/>
        <v>0</v>
      </c>
      <c r="G33" s="322">
        <f t="shared" si="3"/>
        <v>0</v>
      </c>
      <c r="H33" s="323"/>
      <c r="I33" s="322"/>
      <c r="J33" s="321"/>
      <c r="K33" s="322"/>
      <c r="L33" s="323">
        <f t="shared" si="4"/>
        <v>0</v>
      </c>
      <c r="M33" s="322">
        <f t="shared" si="4"/>
        <v>0</v>
      </c>
      <c r="N33" s="321">
        <f t="shared" si="4"/>
        <v>0</v>
      </c>
      <c r="O33" s="322">
        <f t="shared" si="4"/>
        <v>0</v>
      </c>
      <c r="Q33" s="253" t="s">
        <v>815</v>
      </c>
      <c r="R33" s="266"/>
      <c r="S33" s="266"/>
      <c r="T33" s="266"/>
      <c r="U33" s="266"/>
      <c r="V33" s="257"/>
    </row>
    <row r="34" spans="2:22" ht="15.75" thickBot="1">
      <c r="B34" s="225" t="s">
        <v>1238</v>
      </c>
      <c r="C34" s="116" t="s">
        <v>816</v>
      </c>
      <c r="D34" s="319">
        <f t="shared" si="3"/>
        <v>0</v>
      </c>
      <c r="E34" s="320">
        <f t="shared" si="3"/>
        <v>0</v>
      </c>
      <c r="F34" s="321">
        <f t="shared" si="3"/>
        <v>0</v>
      </c>
      <c r="G34" s="322">
        <f t="shared" si="3"/>
        <v>0</v>
      </c>
      <c r="H34" s="323"/>
      <c r="I34" s="322"/>
      <c r="J34" s="321"/>
      <c r="K34" s="322"/>
      <c r="L34" s="323">
        <f t="shared" si="4"/>
        <v>0</v>
      </c>
      <c r="M34" s="322">
        <f t="shared" si="4"/>
        <v>0</v>
      </c>
      <c r="N34" s="321">
        <f t="shared" si="4"/>
        <v>0</v>
      </c>
      <c r="O34" s="322">
        <f t="shared" si="4"/>
        <v>0</v>
      </c>
      <c r="Q34" s="253" t="s">
        <v>816</v>
      </c>
      <c r="R34" s="266"/>
      <c r="S34" s="266"/>
      <c r="T34" s="266"/>
      <c r="U34" s="266"/>
      <c r="V34" s="257"/>
    </row>
    <row r="35" spans="2:22" ht="15.75" thickBot="1">
      <c r="B35" s="225" t="s">
        <v>1239</v>
      </c>
      <c r="C35" s="116" t="s">
        <v>939</v>
      </c>
      <c r="D35" s="319">
        <f t="shared" si="3"/>
        <v>0</v>
      </c>
      <c r="E35" s="320">
        <f t="shared" si="3"/>
        <v>0</v>
      </c>
      <c r="F35" s="321">
        <f t="shared" si="3"/>
        <v>0</v>
      </c>
      <c r="G35" s="322">
        <f t="shared" si="3"/>
        <v>0</v>
      </c>
      <c r="H35" s="323"/>
      <c r="I35" s="322"/>
      <c r="J35" s="321"/>
      <c r="K35" s="322"/>
      <c r="L35" s="323">
        <f t="shared" si="4"/>
        <v>0</v>
      </c>
      <c r="M35" s="322">
        <f t="shared" si="4"/>
        <v>0</v>
      </c>
      <c r="N35" s="321">
        <f t="shared" si="4"/>
        <v>0</v>
      </c>
      <c r="O35" s="322">
        <f t="shared" si="4"/>
        <v>0</v>
      </c>
      <c r="Q35" s="253" t="s">
        <v>939</v>
      </c>
      <c r="R35" s="266"/>
      <c r="S35" s="266"/>
      <c r="T35" s="266"/>
      <c r="U35" s="266"/>
      <c r="V35" s="257"/>
    </row>
    <row r="36" spans="2:22" ht="15.75" thickBot="1">
      <c r="B36" s="225" t="s">
        <v>617</v>
      </c>
      <c r="C36" s="116" t="s">
        <v>817</v>
      </c>
      <c r="D36" s="319">
        <f t="shared" si="3"/>
        <v>0</v>
      </c>
      <c r="E36" s="320">
        <f t="shared" si="3"/>
        <v>0</v>
      </c>
      <c r="F36" s="321">
        <f t="shared" si="3"/>
        <v>0</v>
      </c>
      <c r="G36" s="322">
        <f t="shared" si="3"/>
        <v>0</v>
      </c>
      <c r="H36" s="323"/>
      <c r="I36" s="322"/>
      <c r="J36" s="321"/>
      <c r="K36" s="322"/>
      <c r="L36" s="323">
        <f t="shared" si="4"/>
        <v>0</v>
      </c>
      <c r="M36" s="322">
        <f t="shared" si="4"/>
        <v>0</v>
      </c>
      <c r="N36" s="321">
        <f t="shared" si="4"/>
        <v>0</v>
      </c>
      <c r="O36" s="322">
        <f t="shared" si="4"/>
        <v>0</v>
      </c>
      <c r="Q36" s="253" t="s">
        <v>817</v>
      </c>
      <c r="R36" s="266"/>
      <c r="S36" s="266"/>
      <c r="T36" s="266"/>
      <c r="U36" s="266"/>
      <c r="V36" s="257"/>
    </row>
    <row r="37" spans="2:22" ht="15.75" thickBot="1">
      <c r="B37" s="225" t="s">
        <v>1240</v>
      </c>
      <c r="C37" s="116" t="s">
        <v>818</v>
      </c>
      <c r="D37" s="319">
        <f t="shared" si="3"/>
        <v>0</v>
      </c>
      <c r="E37" s="320">
        <f t="shared" si="3"/>
        <v>0</v>
      </c>
      <c r="F37" s="321">
        <f t="shared" si="3"/>
        <v>0</v>
      </c>
      <c r="G37" s="322">
        <f t="shared" si="3"/>
        <v>0</v>
      </c>
      <c r="H37" s="323"/>
      <c r="I37" s="322"/>
      <c r="J37" s="321"/>
      <c r="K37" s="322"/>
      <c r="L37" s="323">
        <f t="shared" si="4"/>
        <v>0</v>
      </c>
      <c r="M37" s="322">
        <f t="shared" si="4"/>
        <v>0</v>
      </c>
      <c r="N37" s="321">
        <f t="shared" si="4"/>
        <v>0</v>
      </c>
      <c r="O37" s="322">
        <f t="shared" si="4"/>
        <v>0</v>
      </c>
      <c r="Q37" s="253" t="s">
        <v>818</v>
      </c>
      <c r="R37" s="266"/>
      <c r="S37" s="266"/>
      <c r="T37" s="266"/>
      <c r="U37" s="266"/>
      <c r="V37" s="257"/>
    </row>
    <row r="38" spans="2:22" ht="15.75" thickBot="1">
      <c r="B38" s="225" t="s">
        <v>1241</v>
      </c>
      <c r="C38" s="116" t="s">
        <v>940</v>
      </c>
      <c r="D38" s="319">
        <f t="shared" si="3"/>
        <v>0</v>
      </c>
      <c r="E38" s="320">
        <f t="shared" si="3"/>
        <v>0</v>
      </c>
      <c r="F38" s="321">
        <f t="shared" si="3"/>
        <v>0</v>
      </c>
      <c r="G38" s="322">
        <f t="shared" si="3"/>
        <v>0</v>
      </c>
      <c r="H38" s="323"/>
      <c r="I38" s="322"/>
      <c r="J38" s="321"/>
      <c r="K38" s="322"/>
      <c r="L38" s="323">
        <f t="shared" si="4"/>
        <v>0</v>
      </c>
      <c r="M38" s="322">
        <f t="shared" si="4"/>
        <v>0</v>
      </c>
      <c r="N38" s="321">
        <f t="shared" si="4"/>
        <v>0</v>
      </c>
      <c r="O38" s="322">
        <f t="shared" si="4"/>
        <v>0</v>
      </c>
      <c r="Q38" s="253" t="s">
        <v>940</v>
      </c>
      <c r="R38" s="266"/>
      <c r="S38" s="266"/>
      <c r="T38" s="266"/>
      <c r="U38" s="266"/>
      <c r="V38" s="257"/>
    </row>
    <row r="39" spans="2:22" ht="15.75" thickBot="1">
      <c r="B39" s="225" t="s">
        <v>1242</v>
      </c>
      <c r="C39" s="116" t="s">
        <v>819</v>
      </c>
      <c r="D39" s="319">
        <f t="shared" si="3"/>
        <v>0</v>
      </c>
      <c r="E39" s="320">
        <f t="shared" si="3"/>
        <v>0</v>
      </c>
      <c r="F39" s="321">
        <f t="shared" si="3"/>
        <v>0</v>
      </c>
      <c r="G39" s="322">
        <f t="shared" si="3"/>
        <v>0</v>
      </c>
      <c r="H39" s="323"/>
      <c r="I39" s="322"/>
      <c r="J39" s="321"/>
      <c r="K39" s="322"/>
      <c r="L39" s="323">
        <f t="shared" si="4"/>
        <v>0</v>
      </c>
      <c r="M39" s="322">
        <f t="shared" si="4"/>
        <v>0</v>
      </c>
      <c r="N39" s="321">
        <f t="shared" si="4"/>
        <v>0</v>
      </c>
      <c r="O39" s="322">
        <f t="shared" si="4"/>
        <v>0</v>
      </c>
      <c r="Q39" s="253" t="s">
        <v>819</v>
      </c>
      <c r="R39" s="266"/>
      <c r="S39" s="266"/>
      <c r="T39" s="266"/>
      <c r="U39" s="266"/>
      <c r="V39" s="257"/>
    </row>
    <row r="40" spans="2:22" ht="15.75" thickBot="1">
      <c r="B40" s="225" t="s">
        <v>1243</v>
      </c>
      <c r="C40" s="116" t="s">
        <v>820</v>
      </c>
      <c r="D40" s="319">
        <f t="shared" si="3"/>
        <v>0</v>
      </c>
      <c r="E40" s="320">
        <f t="shared" si="3"/>
        <v>0</v>
      </c>
      <c r="F40" s="321">
        <f t="shared" si="3"/>
        <v>0</v>
      </c>
      <c r="G40" s="322">
        <f t="shared" si="3"/>
        <v>0</v>
      </c>
      <c r="H40" s="323"/>
      <c r="I40" s="322"/>
      <c r="J40" s="321"/>
      <c r="K40" s="322"/>
      <c r="L40" s="323">
        <f t="shared" si="4"/>
        <v>0</v>
      </c>
      <c r="M40" s="322">
        <f t="shared" si="4"/>
        <v>0</v>
      </c>
      <c r="N40" s="321">
        <f t="shared" si="4"/>
        <v>0</v>
      </c>
      <c r="O40" s="322">
        <f t="shared" si="4"/>
        <v>0</v>
      </c>
      <c r="Q40" s="253" t="s">
        <v>820</v>
      </c>
      <c r="R40" s="266"/>
      <c r="S40" s="266"/>
      <c r="T40" s="266"/>
      <c r="U40" s="266"/>
      <c r="V40" s="257"/>
    </row>
    <row r="41" spans="2:22" ht="15.75" thickBot="1">
      <c r="B41" s="225" t="s">
        <v>422</v>
      </c>
      <c r="C41" s="116" t="s">
        <v>941</v>
      </c>
      <c r="D41" s="319">
        <f t="shared" si="3"/>
        <v>0</v>
      </c>
      <c r="E41" s="320">
        <f t="shared" si="3"/>
        <v>0</v>
      </c>
      <c r="F41" s="321">
        <f t="shared" si="3"/>
        <v>0</v>
      </c>
      <c r="G41" s="322">
        <f t="shared" si="3"/>
        <v>0</v>
      </c>
      <c r="H41" s="323"/>
      <c r="I41" s="322"/>
      <c r="J41" s="321"/>
      <c r="K41" s="322"/>
      <c r="L41" s="323">
        <f t="shared" si="4"/>
        <v>0</v>
      </c>
      <c r="M41" s="322">
        <f t="shared" si="4"/>
        <v>0</v>
      </c>
      <c r="N41" s="321">
        <f t="shared" si="4"/>
        <v>0</v>
      </c>
      <c r="O41" s="322">
        <f t="shared" si="4"/>
        <v>0</v>
      </c>
      <c r="Q41" s="253" t="s">
        <v>941</v>
      </c>
      <c r="R41" s="266"/>
      <c r="S41" s="266"/>
      <c r="T41" s="266"/>
      <c r="U41" s="266"/>
      <c r="V41" s="257"/>
    </row>
    <row r="42" spans="2:22" ht="15.75" thickBot="1">
      <c r="B42" s="225" t="s">
        <v>613</v>
      </c>
      <c r="C42" s="116" t="s">
        <v>821</v>
      </c>
      <c r="D42" s="319">
        <f t="shared" si="3"/>
        <v>0</v>
      </c>
      <c r="E42" s="320">
        <f t="shared" si="3"/>
        <v>0</v>
      </c>
      <c r="F42" s="321">
        <f t="shared" si="3"/>
        <v>0</v>
      </c>
      <c r="G42" s="322">
        <f t="shared" si="3"/>
        <v>0</v>
      </c>
      <c r="H42" s="323"/>
      <c r="I42" s="322"/>
      <c r="J42" s="321"/>
      <c r="K42" s="322"/>
      <c r="L42" s="323">
        <f t="shared" si="4"/>
        <v>0</v>
      </c>
      <c r="M42" s="322">
        <f t="shared" si="4"/>
        <v>0</v>
      </c>
      <c r="N42" s="321">
        <f t="shared" si="4"/>
        <v>0</v>
      </c>
      <c r="O42" s="322">
        <f t="shared" si="4"/>
        <v>0</v>
      </c>
      <c r="Q42" s="253" t="s">
        <v>821</v>
      </c>
      <c r="R42" s="266"/>
      <c r="S42" s="266"/>
      <c r="T42" s="266"/>
      <c r="U42" s="266"/>
      <c r="V42" s="257"/>
    </row>
    <row r="43" spans="2:22" ht="15.75" thickBot="1">
      <c r="B43" s="225" t="s">
        <v>1244</v>
      </c>
      <c r="C43" s="116" t="s">
        <v>822</v>
      </c>
      <c r="D43" s="319">
        <f t="shared" si="3"/>
        <v>0</v>
      </c>
      <c r="E43" s="320">
        <f t="shared" si="3"/>
        <v>0</v>
      </c>
      <c r="F43" s="321">
        <f t="shared" si="3"/>
        <v>0</v>
      </c>
      <c r="G43" s="322">
        <f t="shared" si="3"/>
        <v>0</v>
      </c>
      <c r="H43" s="323"/>
      <c r="I43" s="322"/>
      <c r="J43" s="321"/>
      <c r="K43" s="322"/>
      <c r="L43" s="323">
        <f t="shared" si="4"/>
        <v>0</v>
      </c>
      <c r="M43" s="322">
        <f t="shared" si="4"/>
        <v>0</v>
      </c>
      <c r="N43" s="321">
        <f t="shared" si="4"/>
        <v>0</v>
      </c>
      <c r="O43" s="322">
        <f t="shared" si="4"/>
        <v>0</v>
      </c>
      <c r="Q43" s="253" t="s">
        <v>822</v>
      </c>
      <c r="R43" s="266"/>
      <c r="S43" s="266"/>
      <c r="T43" s="266"/>
      <c r="U43" s="266"/>
      <c r="V43" s="257"/>
    </row>
    <row r="44" spans="2:22" ht="15.75" thickBot="1">
      <c r="B44" s="225" t="s">
        <v>1245</v>
      </c>
      <c r="C44" s="116" t="s">
        <v>823</v>
      </c>
      <c r="D44" s="319">
        <f t="shared" si="3"/>
        <v>0</v>
      </c>
      <c r="E44" s="320">
        <f t="shared" si="3"/>
        <v>0</v>
      </c>
      <c r="F44" s="321">
        <f t="shared" si="3"/>
        <v>0</v>
      </c>
      <c r="G44" s="322">
        <f t="shared" si="3"/>
        <v>0</v>
      </c>
      <c r="H44" s="323"/>
      <c r="I44" s="322"/>
      <c r="J44" s="321"/>
      <c r="K44" s="322"/>
      <c r="L44" s="323">
        <f t="shared" si="4"/>
        <v>0</v>
      </c>
      <c r="M44" s="322">
        <f t="shared" si="4"/>
        <v>0</v>
      </c>
      <c r="N44" s="321">
        <f t="shared" si="4"/>
        <v>0</v>
      </c>
      <c r="O44" s="322">
        <f t="shared" si="4"/>
        <v>0</v>
      </c>
      <c r="Q44" s="253" t="s">
        <v>823</v>
      </c>
      <c r="R44" s="266"/>
      <c r="S44" s="266"/>
      <c r="T44" s="266"/>
      <c r="U44" s="266"/>
      <c r="V44" s="257"/>
    </row>
    <row r="45" spans="2:22" ht="15.75" thickBot="1">
      <c r="C45" s="115" t="s">
        <v>809</v>
      </c>
      <c r="D45" s="325">
        <f t="shared" si="3"/>
        <v>0</v>
      </c>
      <c r="E45" s="326">
        <f t="shared" si="3"/>
        <v>0</v>
      </c>
      <c r="F45" s="327">
        <f t="shared" si="3"/>
        <v>0</v>
      </c>
      <c r="G45" s="328">
        <f t="shared" si="3"/>
        <v>0</v>
      </c>
      <c r="H45" s="329">
        <f>SUM(H31:H44)</f>
        <v>0</v>
      </c>
      <c r="I45" s="328">
        <f>SUM(I31:I44)</f>
        <v>0</v>
      </c>
      <c r="J45" s="327">
        <f>SUM(J31:J44)</f>
        <v>0</v>
      </c>
      <c r="K45" s="328">
        <f>SUM(K31:K44)</f>
        <v>0</v>
      </c>
      <c r="L45" s="329">
        <f t="shared" si="4"/>
        <v>0</v>
      </c>
      <c r="M45" s="328">
        <f t="shared" si="4"/>
        <v>0</v>
      </c>
      <c r="N45" s="327">
        <f t="shared" si="4"/>
        <v>0</v>
      </c>
      <c r="O45" s="328">
        <f t="shared" si="4"/>
        <v>0</v>
      </c>
      <c r="Q45" s="252" t="s">
        <v>809</v>
      </c>
      <c r="R45" s="265"/>
      <c r="S45" s="265"/>
      <c r="T45" s="265"/>
      <c r="U45" s="265"/>
      <c r="V45" s="256"/>
    </row>
    <row r="46" spans="2:22" ht="15.75" thickBot="1">
      <c r="B46" s="225" t="s">
        <v>1246</v>
      </c>
      <c r="C46" s="121" t="s">
        <v>824</v>
      </c>
      <c r="D46" s="331">
        <f t="shared" si="3"/>
        <v>0</v>
      </c>
      <c r="E46" s="332">
        <f t="shared" si="3"/>
        <v>0</v>
      </c>
      <c r="F46" s="333">
        <f t="shared" si="3"/>
        <v>0</v>
      </c>
      <c r="G46" s="334">
        <f t="shared" si="3"/>
        <v>0</v>
      </c>
      <c r="H46" s="335"/>
      <c r="I46" s="334"/>
      <c r="J46" s="333"/>
      <c r="K46" s="334"/>
      <c r="L46" s="335">
        <f t="shared" si="4"/>
        <v>0</v>
      </c>
      <c r="M46" s="334">
        <f t="shared" si="4"/>
        <v>0</v>
      </c>
      <c r="N46" s="333">
        <f t="shared" si="4"/>
        <v>0</v>
      </c>
      <c r="O46" s="334">
        <f t="shared" si="4"/>
        <v>0</v>
      </c>
      <c r="Q46" s="253" t="s">
        <v>824</v>
      </c>
      <c r="R46" s="266"/>
      <c r="S46" s="266"/>
      <c r="T46" s="266"/>
      <c r="U46" s="266"/>
      <c r="V46" s="257"/>
    </row>
    <row r="47" spans="2:22" ht="15.75" thickBot="1">
      <c r="C47" s="119" t="s">
        <v>811</v>
      </c>
      <c r="D47" s="337">
        <f t="shared" si="3"/>
        <v>0</v>
      </c>
      <c r="E47" s="338">
        <f t="shared" si="3"/>
        <v>0</v>
      </c>
      <c r="F47" s="339">
        <f t="shared" si="3"/>
        <v>0</v>
      </c>
      <c r="G47" s="340">
        <f t="shared" si="3"/>
        <v>0</v>
      </c>
      <c r="H47" s="341">
        <f>H45+H46</f>
        <v>0</v>
      </c>
      <c r="I47" s="340">
        <f>I45+I46</f>
        <v>0</v>
      </c>
      <c r="J47" s="339">
        <f>J45+J46</f>
        <v>0</v>
      </c>
      <c r="K47" s="340">
        <f>K45+K46</f>
        <v>0</v>
      </c>
      <c r="L47" s="341">
        <f t="shared" si="4"/>
        <v>0</v>
      </c>
      <c r="M47" s="340">
        <f t="shared" si="4"/>
        <v>0</v>
      </c>
      <c r="N47" s="339">
        <f t="shared" si="4"/>
        <v>0</v>
      </c>
      <c r="O47" s="340">
        <f t="shared" si="4"/>
        <v>0</v>
      </c>
      <c r="Q47" s="276" t="s">
        <v>811</v>
      </c>
      <c r="R47" s="278"/>
      <c r="S47" s="278"/>
      <c r="T47" s="278"/>
      <c r="U47" s="278"/>
      <c r="V47" s="258"/>
    </row>
  </sheetData>
  <mergeCells count="32">
    <mergeCell ref="J29:K29"/>
    <mergeCell ref="N29:O29"/>
    <mergeCell ref="Q29:Q30"/>
    <mergeCell ref="R29:S29"/>
    <mergeCell ref="T29:V29"/>
    <mergeCell ref="L29:M29"/>
    <mergeCell ref="Q10:Q11"/>
    <mergeCell ref="R10:S10"/>
    <mergeCell ref="T10:V10"/>
    <mergeCell ref="D28:G28"/>
    <mergeCell ref="H28:K28"/>
    <mergeCell ref="L28:O28"/>
    <mergeCell ref="L1:P1"/>
    <mergeCell ref="L2:P2"/>
    <mergeCell ref="L3:P3"/>
    <mergeCell ref="L4:P4"/>
    <mergeCell ref="L5:P5"/>
    <mergeCell ref="L6:P6"/>
    <mergeCell ref="L7:P7"/>
    <mergeCell ref="L10:M10"/>
    <mergeCell ref="H9:K9"/>
    <mergeCell ref="L9:O9"/>
    <mergeCell ref="J10:K10"/>
    <mergeCell ref="N10:O10"/>
    <mergeCell ref="C2:D3"/>
    <mergeCell ref="D29:E29"/>
    <mergeCell ref="F29:G29"/>
    <mergeCell ref="H29:I29"/>
    <mergeCell ref="D10:E10"/>
    <mergeCell ref="F10:G10"/>
    <mergeCell ref="H10:I10"/>
    <mergeCell ref="D9:G9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P64"/>
  <sheetViews>
    <sheetView zoomScale="80" zoomScaleNormal="80" workbookViewId="0">
      <selection activeCell="M3" sqref="M3:N4"/>
    </sheetView>
  </sheetViews>
  <sheetFormatPr baseColWidth="10" defaultRowHeight="15"/>
  <cols>
    <col min="1" max="1" width="5.140625" style="98" customWidth="1"/>
    <col min="2" max="2" width="6.5703125" style="219" hidden="1" customWidth="1"/>
    <col min="3" max="4" width="5.140625" style="219" hidden="1" customWidth="1"/>
    <col min="5" max="5" width="6.5703125" style="219" hidden="1" customWidth="1"/>
    <col min="6" max="6" width="55.140625" bestFit="1" customWidth="1"/>
    <col min="7" max="7" width="47.5703125" customWidth="1"/>
    <col min="8" max="8" width="14.5703125" style="82" bestFit="1" customWidth="1"/>
    <col min="9" max="9" width="17.85546875" style="82" bestFit="1" customWidth="1"/>
    <col min="10" max="10" width="18.7109375" style="82" bestFit="1" customWidth="1"/>
    <col min="12" max="12" width="68.42578125" customWidth="1"/>
    <col min="13" max="14" width="13.85546875" bestFit="1" customWidth="1"/>
    <col min="15" max="15" width="13.140625" bestFit="1" customWidth="1"/>
    <col min="16" max="16" width="11.5703125" bestFit="1" customWidth="1"/>
  </cols>
  <sheetData>
    <row r="1" spans="2:16">
      <c r="F1" s="29"/>
      <c r="H1" s="228"/>
      <c r="L1" s="356" t="s">
        <v>269</v>
      </c>
      <c r="M1" s="357" t="str">
        <f>'EE RR'!AB1:AB2</f>
        <v>NOMBRE DEL SERVICIO</v>
      </c>
      <c r="N1" s="353"/>
    </row>
    <row r="2" spans="2:16">
      <c r="F2" s="28"/>
      <c r="H2" s="228"/>
      <c r="L2" s="356"/>
      <c r="M2" s="357"/>
      <c r="N2" s="353"/>
    </row>
    <row r="3" spans="2:16">
      <c r="F3" s="355" t="s">
        <v>270</v>
      </c>
      <c r="G3" s="355"/>
      <c r="H3" s="229"/>
      <c r="I3" s="228"/>
      <c r="L3" s="353"/>
      <c r="M3" s="354" t="s">
        <v>270</v>
      </c>
      <c r="N3" s="354"/>
      <c r="O3" s="353"/>
    </row>
    <row r="4" spans="2:16">
      <c r="F4" s="355"/>
      <c r="G4" s="355"/>
      <c r="H4" s="229"/>
      <c r="I4" s="228"/>
      <c r="L4" s="353"/>
      <c r="M4" s="354"/>
      <c r="N4" s="354"/>
      <c r="O4" s="353"/>
    </row>
    <row r="5" spans="2:16">
      <c r="F5" s="29"/>
      <c r="H5" s="229"/>
      <c r="I5" s="228"/>
      <c r="L5" s="353"/>
      <c r="M5" s="354"/>
      <c r="N5" s="354"/>
      <c r="O5" s="353"/>
    </row>
    <row r="6" spans="2:16">
      <c r="F6" s="29"/>
      <c r="H6" s="229"/>
      <c r="I6" s="228"/>
      <c r="L6" s="353"/>
      <c r="M6" s="354"/>
      <c r="N6" s="354"/>
      <c r="O6" s="353"/>
    </row>
    <row r="7" spans="2:16">
      <c r="F7" s="29" t="s">
        <v>1</v>
      </c>
      <c r="H7" s="229"/>
      <c r="I7" s="228"/>
      <c r="L7" s="353"/>
      <c r="M7" s="354" t="s">
        <v>1</v>
      </c>
      <c r="N7" s="354"/>
      <c r="O7" s="353"/>
    </row>
    <row r="8" spans="2:16" ht="15.75" thickBot="1">
      <c r="F8" s="122"/>
      <c r="G8" s="123"/>
      <c r="H8" s="162" t="s">
        <v>1441</v>
      </c>
      <c r="I8" s="163" t="s">
        <v>113</v>
      </c>
      <c r="J8" s="162" t="s">
        <v>118</v>
      </c>
      <c r="L8" s="353"/>
      <c r="M8" s="354"/>
      <c r="N8" s="354"/>
      <c r="O8" s="353"/>
    </row>
    <row r="9" spans="2:16" ht="15.75" thickBot="1">
      <c r="F9" s="126" t="s">
        <v>942</v>
      </c>
      <c r="G9" s="127"/>
      <c r="H9" s="230">
        <f>P9</f>
        <v>0</v>
      </c>
      <c r="I9" s="230">
        <f>I10+I31+I41</f>
        <v>0</v>
      </c>
      <c r="J9" s="231">
        <f>H9-I9</f>
        <v>0</v>
      </c>
      <c r="L9" s="259" t="s">
        <v>942</v>
      </c>
      <c r="M9" s="262"/>
      <c r="N9" s="262"/>
      <c r="O9" s="262"/>
      <c r="P9" s="263"/>
    </row>
    <row r="10" spans="2:16" ht="15.75" thickBot="1">
      <c r="F10" s="128" t="s">
        <v>943</v>
      </c>
      <c r="G10" s="135"/>
      <c r="H10" s="201">
        <f>O10</f>
        <v>0</v>
      </c>
      <c r="I10" s="201">
        <f>+I11-I20</f>
        <v>0</v>
      </c>
      <c r="J10" s="202">
        <f t="shared" ref="J10:J51" si="0">H10-I10</f>
        <v>0</v>
      </c>
      <c r="L10" s="252" t="s">
        <v>1300</v>
      </c>
      <c r="M10" s="264"/>
      <c r="N10" s="264"/>
      <c r="O10" s="265"/>
      <c r="P10" s="295"/>
    </row>
    <row r="11" spans="2:16" ht="15.75" thickBot="1">
      <c r="F11" s="130" t="s">
        <v>944</v>
      </c>
      <c r="G11" s="129"/>
      <c r="H11" s="186">
        <f>N11</f>
        <v>0</v>
      </c>
      <c r="I11" s="186">
        <f>SUM(I12:I19)</f>
        <v>0</v>
      </c>
      <c r="J11" s="164">
        <f t="shared" si="0"/>
        <v>0</v>
      </c>
      <c r="L11" s="252" t="s">
        <v>1301</v>
      </c>
      <c r="M11" s="264"/>
      <c r="N11" s="265"/>
      <c r="O11" s="264"/>
      <c r="P11" s="295"/>
    </row>
    <row r="12" spans="2:16" ht="15.75" thickBot="1">
      <c r="B12" s="219" t="s">
        <v>377</v>
      </c>
      <c r="F12" s="131" t="s">
        <v>945</v>
      </c>
      <c r="G12" s="132" t="s">
        <v>982</v>
      </c>
      <c r="H12" s="232">
        <f>M12</f>
        <v>0</v>
      </c>
      <c r="I12" s="133">
        <f>IFERROR(VLOOKUP(B12,'Balance Ag'!$B$6:$G$1000,5,0),0)</f>
        <v>0</v>
      </c>
      <c r="J12" s="134">
        <f t="shared" si="0"/>
        <v>0</v>
      </c>
      <c r="L12" s="253" t="s">
        <v>1302</v>
      </c>
      <c r="M12" s="266"/>
      <c r="N12" s="296"/>
      <c r="O12" s="296"/>
      <c r="P12" s="267"/>
    </row>
    <row r="13" spans="2:16" ht="15.75" thickBot="1">
      <c r="B13" s="219" t="s">
        <v>378</v>
      </c>
      <c r="F13" s="131" t="s">
        <v>946</v>
      </c>
      <c r="G13" s="132" t="s">
        <v>983</v>
      </c>
      <c r="H13" s="232">
        <f t="shared" ref="H13:H19" si="1">M13</f>
        <v>0</v>
      </c>
      <c r="I13" s="133">
        <f>IFERROR(VLOOKUP(B13,'Balance Ag'!$B$6:$G$1000,5,0),0)</f>
        <v>0</v>
      </c>
      <c r="J13" s="134">
        <f t="shared" si="0"/>
        <v>0</v>
      </c>
      <c r="L13" s="253" t="s">
        <v>1303</v>
      </c>
      <c r="M13" s="266"/>
      <c r="N13" s="296"/>
      <c r="O13" s="296"/>
      <c r="P13" s="267"/>
    </row>
    <row r="14" spans="2:16" ht="15.75" thickBot="1">
      <c r="B14" s="219" t="s">
        <v>280</v>
      </c>
      <c r="F14" s="131" t="s">
        <v>947</v>
      </c>
      <c r="G14" s="132" t="s">
        <v>984</v>
      </c>
      <c r="H14" s="232">
        <f t="shared" si="1"/>
        <v>0</v>
      </c>
      <c r="I14" s="133">
        <f>IFERROR(VLOOKUP(B14,'Balance Ag'!$B$6:$G$1000,5,0),0)</f>
        <v>0</v>
      </c>
      <c r="J14" s="134">
        <f t="shared" si="0"/>
        <v>0</v>
      </c>
      <c r="L14" s="253" t="s">
        <v>1304</v>
      </c>
      <c r="M14" s="266"/>
      <c r="N14" s="296"/>
      <c r="O14" s="296"/>
      <c r="P14" s="267"/>
    </row>
    <row r="15" spans="2:16" ht="15.75" thickBot="1">
      <c r="B15" s="219" t="s">
        <v>379</v>
      </c>
      <c r="F15" s="131" t="s">
        <v>948</v>
      </c>
      <c r="G15" s="132" t="s">
        <v>985</v>
      </c>
      <c r="H15" s="232">
        <f t="shared" si="1"/>
        <v>0</v>
      </c>
      <c r="I15" s="133">
        <f>IFERROR(VLOOKUP(B15,'Balance Ag'!$B$6:$G$1000,5,0),0)</f>
        <v>0</v>
      </c>
      <c r="J15" s="134">
        <f t="shared" si="0"/>
        <v>0</v>
      </c>
      <c r="L15" s="253" t="s">
        <v>1305</v>
      </c>
      <c r="M15" s="266"/>
      <c r="N15" s="296"/>
      <c r="O15" s="296"/>
      <c r="P15" s="267"/>
    </row>
    <row r="16" spans="2:16" ht="15.75" thickBot="1">
      <c r="B16" s="219" t="s">
        <v>380</v>
      </c>
      <c r="F16" s="131" t="s">
        <v>949</v>
      </c>
      <c r="G16" s="132" t="s">
        <v>986</v>
      </c>
      <c r="H16" s="232">
        <f t="shared" si="1"/>
        <v>0</v>
      </c>
      <c r="I16" s="133">
        <f>IFERROR(VLOOKUP(B16,'Balance Ag'!$B$6:$G$1000,5,0),0)</f>
        <v>0</v>
      </c>
      <c r="J16" s="134">
        <f t="shared" si="0"/>
        <v>0</v>
      </c>
      <c r="L16" s="253" t="s">
        <v>1306</v>
      </c>
      <c r="M16" s="266"/>
      <c r="N16" s="296"/>
      <c r="O16" s="296"/>
      <c r="P16" s="267"/>
    </row>
    <row r="17" spans="2:16" ht="15.75" thickBot="1">
      <c r="B17" s="219" t="s">
        <v>381</v>
      </c>
      <c r="F17" s="131" t="s">
        <v>950</v>
      </c>
      <c r="G17" s="132" t="s">
        <v>987</v>
      </c>
      <c r="H17" s="232">
        <f t="shared" si="1"/>
        <v>0</v>
      </c>
      <c r="I17" s="133">
        <f>IFERROR(VLOOKUP(B17,'Balance Ag'!$B$6:$G$1000,5,0),0)</f>
        <v>0</v>
      </c>
      <c r="J17" s="134">
        <f t="shared" si="0"/>
        <v>0</v>
      </c>
      <c r="L17" s="253" t="s">
        <v>1307</v>
      </c>
      <c r="M17" s="266"/>
      <c r="N17" s="296"/>
      <c r="O17" s="296"/>
      <c r="P17" s="267"/>
    </row>
    <row r="18" spans="2:16" ht="15.75" thickBot="1">
      <c r="B18" s="219" t="s">
        <v>281</v>
      </c>
      <c r="F18" s="131" t="s">
        <v>951</v>
      </c>
      <c r="G18" s="132" t="s">
        <v>988</v>
      </c>
      <c r="H18" s="232">
        <f t="shared" si="1"/>
        <v>0</v>
      </c>
      <c r="I18" s="133">
        <f>IFERROR(VLOOKUP(B18,'Balance Ag'!$B$6:$G$1000,5,0),0)</f>
        <v>0</v>
      </c>
      <c r="J18" s="134">
        <f t="shared" si="0"/>
        <v>0</v>
      </c>
      <c r="L18" s="253" t="s">
        <v>1308</v>
      </c>
      <c r="M18" s="266"/>
      <c r="N18" s="296"/>
      <c r="O18" s="296"/>
      <c r="P18" s="267"/>
    </row>
    <row r="19" spans="2:16" ht="15.75" thickBot="1">
      <c r="B19" s="219" t="s">
        <v>382</v>
      </c>
      <c r="F19" s="131" t="s">
        <v>952</v>
      </c>
      <c r="G19" s="132" t="s">
        <v>989</v>
      </c>
      <c r="H19" s="232">
        <f t="shared" si="1"/>
        <v>0</v>
      </c>
      <c r="I19" s="133">
        <f>IFERROR(VLOOKUP(B19,'Balance Ag'!$B$6:$G$1000,5,0),0)</f>
        <v>0</v>
      </c>
      <c r="J19" s="134">
        <f t="shared" si="0"/>
        <v>0</v>
      </c>
      <c r="L19" s="253" t="s">
        <v>1309</v>
      </c>
      <c r="M19" s="266"/>
      <c r="N19" s="296"/>
      <c r="O19" s="296"/>
      <c r="P19" s="267"/>
    </row>
    <row r="20" spans="2:16" ht="15.75" thickBot="1">
      <c r="F20" s="130" t="s">
        <v>953</v>
      </c>
      <c r="G20" s="129"/>
      <c r="H20" s="186">
        <f>N20</f>
        <v>0</v>
      </c>
      <c r="I20" s="186">
        <f>SUM(I21:I30)</f>
        <v>0</v>
      </c>
      <c r="J20" s="164">
        <f t="shared" si="0"/>
        <v>0</v>
      </c>
      <c r="L20" s="252" t="s">
        <v>1310</v>
      </c>
      <c r="M20" s="264"/>
      <c r="N20" s="265"/>
      <c r="O20" s="264"/>
      <c r="P20" s="295"/>
    </row>
    <row r="21" spans="2:16" ht="15.75" thickBot="1">
      <c r="B21" s="219" t="s">
        <v>292</v>
      </c>
      <c r="F21" s="131" t="s">
        <v>954</v>
      </c>
      <c r="G21" s="132" t="s">
        <v>990</v>
      </c>
      <c r="H21" s="232">
        <f>M21</f>
        <v>0</v>
      </c>
      <c r="I21" s="133">
        <f>IFERROR(VLOOKUP(B21,'Balance Ag'!$B$6:$G$1000,4,0),0)</f>
        <v>0</v>
      </c>
      <c r="J21" s="134">
        <f t="shared" si="0"/>
        <v>0</v>
      </c>
      <c r="L21" s="253" t="s">
        <v>1311</v>
      </c>
      <c r="M21" s="266"/>
      <c r="N21" s="296"/>
      <c r="O21" s="296"/>
      <c r="P21" s="267"/>
    </row>
    <row r="22" spans="2:16" ht="15.75" thickBot="1">
      <c r="B22" s="219" t="s">
        <v>293</v>
      </c>
      <c r="F22" s="131" t="s">
        <v>955</v>
      </c>
      <c r="G22" s="132" t="s">
        <v>991</v>
      </c>
      <c r="H22" s="232">
        <f t="shared" ref="H22:H30" si="2">M22</f>
        <v>0</v>
      </c>
      <c r="I22" s="133">
        <f>IFERROR(VLOOKUP(B22,'Balance Ag'!$B$6:$G$1000,4,0),0)</f>
        <v>0</v>
      </c>
      <c r="J22" s="134">
        <f t="shared" si="0"/>
        <v>0</v>
      </c>
      <c r="L22" s="253" t="s">
        <v>1312</v>
      </c>
      <c r="M22" s="266"/>
      <c r="N22" s="296"/>
      <c r="O22" s="296"/>
      <c r="P22" s="267"/>
    </row>
    <row r="23" spans="2:16" ht="15.75" thickBot="1">
      <c r="B23" s="219" t="s">
        <v>383</v>
      </c>
      <c r="F23" s="131" t="s">
        <v>956</v>
      </c>
      <c r="G23" s="132" t="s">
        <v>992</v>
      </c>
      <c r="H23" s="232">
        <f t="shared" si="2"/>
        <v>0</v>
      </c>
      <c r="I23" s="133">
        <f>IFERROR(VLOOKUP(B23,'Balance Ag'!$B$6:$G$1000,4,0),0)</f>
        <v>0</v>
      </c>
      <c r="J23" s="134">
        <f t="shared" si="0"/>
        <v>0</v>
      </c>
      <c r="L23" s="253" t="s">
        <v>1313</v>
      </c>
      <c r="M23" s="266"/>
      <c r="N23" s="296"/>
      <c r="O23" s="296"/>
      <c r="P23" s="267"/>
    </row>
    <row r="24" spans="2:16" ht="15.75" thickBot="1">
      <c r="B24" s="219" t="s">
        <v>372</v>
      </c>
      <c r="F24" s="131" t="s">
        <v>947</v>
      </c>
      <c r="G24" s="132" t="s">
        <v>993</v>
      </c>
      <c r="H24" s="232">
        <f t="shared" si="2"/>
        <v>0</v>
      </c>
      <c r="I24" s="133">
        <f>IFERROR(VLOOKUP(B24,'Balance Ag'!$B$6:$G$1000,4,0),0)</f>
        <v>0</v>
      </c>
      <c r="J24" s="134">
        <f t="shared" si="0"/>
        <v>0</v>
      </c>
      <c r="L24" s="253" t="s">
        <v>1304</v>
      </c>
      <c r="M24" s="266"/>
      <c r="N24" s="296"/>
      <c r="O24" s="296"/>
      <c r="P24" s="267"/>
    </row>
    <row r="25" spans="2:16" ht="15.75" thickBot="1">
      <c r="B25" s="219" t="s">
        <v>384</v>
      </c>
      <c r="F25" s="131" t="s">
        <v>957</v>
      </c>
      <c r="G25" s="132" t="s">
        <v>994</v>
      </c>
      <c r="H25" s="232">
        <f t="shared" si="2"/>
        <v>0</v>
      </c>
      <c r="I25" s="133">
        <f>IFERROR(VLOOKUP(B25,'Balance Ag'!$B$6:$G$1000,4,0),0)</f>
        <v>0</v>
      </c>
      <c r="J25" s="134">
        <f t="shared" si="0"/>
        <v>0</v>
      </c>
      <c r="L25" s="253" t="s">
        <v>1314</v>
      </c>
      <c r="M25" s="266"/>
      <c r="N25" s="296"/>
      <c r="O25" s="296"/>
      <c r="P25" s="267"/>
    </row>
    <row r="26" spans="2:16" ht="15.75" thickBot="1">
      <c r="B26" s="219" t="s">
        <v>385</v>
      </c>
      <c r="F26" s="131" t="s">
        <v>958</v>
      </c>
      <c r="G26" s="132" t="s">
        <v>995</v>
      </c>
      <c r="H26" s="232">
        <f t="shared" si="2"/>
        <v>0</v>
      </c>
      <c r="I26" s="133">
        <f>IFERROR(VLOOKUP(B26,'Balance Ag'!$B$6:$G$1000,4,0),0)</f>
        <v>0</v>
      </c>
      <c r="J26" s="134">
        <f t="shared" si="0"/>
        <v>0</v>
      </c>
      <c r="L26" s="253" t="s">
        <v>1315</v>
      </c>
      <c r="M26" s="266"/>
      <c r="N26" s="296"/>
      <c r="O26" s="296"/>
      <c r="P26" s="267"/>
    </row>
    <row r="27" spans="2:16" ht="15.75" thickBot="1">
      <c r="B27" s="219" t="s">
        <v>386</v>
      </c>
      <c r="F27" s="131" t="s">
        <v>959</v>
      </c>
      <c r="G27" s="132" t="s">
        <v>996</v>
      </c>
      <c r="H27" s="232">
        <f t="shared" si="2"/>
        <v>0</v>
      </c>
      <c r="I27" s="133">
        <f>IFERROR(VLOOKUP(B27,'Balance Ag'!$B$6:$G$1000,4,0),0)</f>
        <v>0</v>
      </c>
      <c r="J27" s="134">
        <f t="shared" si="0"/>
        <v>0</v>
      </c>
      <c r="L27" s="253" t="s">
        <v>1316</v>
      </c>
      <c r="M27" s="266"/>
      <c r="N27" s="296"/>
      <c r="O27" s="296"/>
      <c r="P27" s="267"/>
    </row>
    <row r="28" spans="2:16" ht="15.75" thickBot="1">
      <c r="B28" s="219" t="s">
        <v>387</v>
      </c>
      <c r="F28" s="131" t="s">
        <v>960</v>
      </c>
      <c r="G28" s="132" t="s">
        <v>997</v>
      </c>
      <c r="H28" s="232">
        <f t="shared" si="2"/>
        <v>0</v>
      </c>
      <c r="I28" s="133">
        <f>IFERROR(VLOOKUP(B28,'Balance Ag'!$B$6:$G$1000,4,0),0)</f>
        <v>0</v>
      </c>
      <c r="J28" s="134">
        <f t="shared" si="0"/>
        <v>0</v>
      </c>
      <c r="L28" s="253" t="s">
        <v>1317</v>
      </c>
      <c r="M28" s="266"/>
      <c r="N28" s="296"/>
      <c r="O28" s="296"/>
      <c r="P28" s="267"/>
    </row>
    <row r="29" spans="2:16" ht="15.75" thickBot="1">
      <c r="B29" s="219" t="s">
        <v>388</v>
      </c>
      <c r="F29" s="131" t="s">
        <v>961</v>
      </c>
      <c r="G29" s="132" t="s">
        <v>998</v>
      </c>
      <c r="H29" s="232">
        <f t="shared" si="2"/>
        <v>0</v>
      </c>
      <c r="I29" s="133">
        <f>IFERROR(VLOOKUP(B29,'Balance Ag'!$B$6:$G$1000,4,0),0)</f>
        <v>0</v>
      </c>
      <c r="J29" s="134">
        <f t="shared" si="0"/>
        <v>0</v>
      </c>
      <c r="L29" s="253" t="s">
        <v>1318</v>
      </c>
      <c r="M29" s="266"/>
      <c r="N29" s="296"/>
      <c r="O29" s="296"/>
      <c r="P29" s="267"/>
    </row>
    <row r="30" spans="2:16" ht="15.75" thickBot="1">
      <c r="B30" s="219" t="s">
        <v>1248</v>
      </c>
      <c r="C30" s="219" t="s">
        <v>1249</v>
      </c>
      <c r="D30" s="219" t="s">
        <v>1250</v>
      </c>
      <c r="E30" s="219" t="s">
        <v>1251</v>
      </c>
      <c r="F30" s="131" t="s">
        <v>962</v>
      </c>
      <c r="G30" s="132" t="s">
        <v>1007</v>
      </c>
      <c r="H30" s="232">
        <f t="shared" si="2"/>
        <v>0</v>
      </c>
      <c r="I30" s="133"/>
      <c r="J30" s="134">
        <f t="shared" si="0"/>
        <v>0</v>
      </c>
      <c r="L30" s="253" t="s">
        <v>1319</v>
      </c>
      <c r="M30" s="266"/>
      <c r="N30" s="296"/>
      <c r="O30" s="296"/>
      <c r="P30" s="267"/>
    </row>
    <row r="31" spans="2:16" ht="15.75" thickBot="1">
      <c r="F31" s="128" t="s">
        <v>963</v>
      </c>
      <c r="G31" s="135"/>
      <c r="H31" s="201">
        <f>O31</f>
        <v>0</v>
      </c>
      <c r="I31" s="201">
        <f>+I32-I36</f>
        <v>0</v>
      </c>
      <c r="J31" s="202">
        <f t="shared" si="0"/>
        <v>0</v>
      </c>
      <c r="L31" s="252" t="s">
        <v>1320</v>
      </c>
      <c r="M31" s="264"/>
      <c r="N31" s="264"/>
      <c r="O31" s="265"/>
      <c r="P31" s="295"/>
    </row>
    <row r="32" spans="2:16" ht="15.75" thickBot="1">
      <c r="F32" s="130" t="s">
        <v>964</v>
      </c>
      <c r="G32" s="129"/>
      <c r="H32" s="186">
        <f>N32</f>
        <v>0</v>
      </c>
      <c r="I32" s="186">
        <f>SUM(I33:I35)</f>
        <v>0</v>
      </c>
      <c r="J32" s="164">
        <f t="shared" si="0"/>
        <v>0</v>
      </c>
      <c r="L32" s="252" t="s">
        <v>1321</v>
      </c>
      <c r="M32" s="264"/>
      <c r="N32" s="265"/>
      <c r="O32" s="264"/>
      <c r="P32" s="295"/>
    </row>
    <row r="33" spans="2:16" ht="15.75" thickBot="1">
      <c r="B33" s="219" t="s">
        <v>389</v>
      </c>
      <c r="F33" s="131" t="s">
        <v>965</v>
      </c>
      <c r="G33" s="132" t="s">
        <v>999</v>
      </c>
      <c r="H33" s="232">
        <f>M33</f>
        <v>0</v>
      </c>
      <c r="I33" s="133">
        <f>IFERROR(VLOOKUP(B33,'Balance Ag'!$B$6:$G$1000,5,0),0)</f>
        <v>0</v>
      </c>
      <c r="J33" s="134">
        <f t="shared" si="0"/>
        <v>0</v>
      </c>
      <c r="L33" s="253" t="s">
        <v>1322</v>
      </c>
      <c r="M33" s="266"/>
      <c r="N33" s="296"/>
      <c r="O33" s="296"/>
      <c r="P33" s="267"/>
    </row>
    <row r="34" spans="2:16" ht="15.75" thickBot="1">
      <c r="B34" s="219" t="s">
        <v>390</v>
      </c>
      <c r="F34" s="131" t="s">
        <v>966</v>
      </c>
      <c r="G34" s="132" t="s">
        <v>1000</v>
      </c>
      <c r="H34" s="232">
        <f t="shared" ref="H34:H35" si="3">M34</f>
        <v>0</v>
      </c>
      <c r="I34" s="133">
        <f>IFERROR(VLOOKUP(B34,'Balance Ag'!$B$6:$G$1000,5,0),0)</f>
        <v>0</v>
      </c>
      <c r="J34" s="134">
        <f t="shared" si="0"/>
        <v>0</v>
      </c>
      <c r="L34" s="253" t="s">
        <v>1323</v>
      </c>
      <c r="M34" s="266"/>
      <c r="N34" s="296"/>
      <c r="O34" s="296"/>
      <c r="P34" s="267"/>
    </row>
    <row r="35" spans="2:16" ht="15.75" thickBot="1">
      <c r="B35" s="219" t="s">
        <v>391</v>
      </c>
      <c r="F35" s="131" t="s">
        <v>967</v>
      </c>
      <c r="G35" s="132" t="s">
        <v>1001</v>
      </c>
      <c r="H35" s="232">
        <f t="shared" si="3"/>
        <v>0</v>
      </c>
      <c r="I35" s="133">
        <f>IFERROR(VLOOKUP(B35,'Balance Ag'!$B$6:$G$1000,5,0),0)</f>
        <v>0</v>
      </c>
      <c r="J35" s="134">
        <f t="shared" si="0"/>
        <v>0</v>
      </c>
      <c r="L35" s="253" t="s">
        <v>1324</v>
      </c>
      <c r="M35" s="266"/>
      <c r="N35" s="296"/>
      <c r="O35" s="296"/>
      <c r="P35" s="267"/>
    </row>
    <row r="36" spans="2:16" ht="15.75" thickBot="1">
      <c r="F36" s="130" t="s">
        <v>968</v>
      </c>
      <c r="G36" s="129"/>
      <c r="H36" s="186">
        <f>N36</f>
        <v>0</v>
      </c>
      <c r="I36" s="186">
        <f>SUM(I37:I40)</f>
        <v>0</v>
      </c>
      <c r="J36" s="164">
        <f t="shared" si="0"/>
        <v>0</v>
      </c>
      <c r="L36" s="252" t="s">
        <v>1325</v>
      </c>
      <c r="M36" s="264"/>
      <c r="N36" s="265"/>
      <c r="O36" s="264"/>
      <c r="P36" s="295"/>
    </row>
    <row r="37" spans="2:16" ht="15.75" thickBot="1">
      <c r="B37" s="219" t="s">
        <v>392</v>
      </c>
      <c r="F37" s="131" t="s">
        <v>969</v>
      </c>
      <c r="G37" s="132" t="s">
        <v>1002</v>
      </c>
      <c r="H37" s="232">
        <f>M37</f>
        <v>0</v>
      </c>
      <c r="I37" s="133">
        <f>IFERROR(VLOOKUP(B37,'Balance Ag'!$B$6:$G$1000,4,0),0)</f>
        <v>0</v>
      </c>
      <c r="J37" s="134">
        <f t="shared" si="0"/>
        <v>0</v>
      </c>
      <c r="L37" s="253" t="s">
        <v>1326</v>
      </c>
      <c r="M37" s="266"/>
      <c r="N37" s="296"/>
      <c r="O37" s="296"/>
      <c r="P37" s="267"/>
    </row>
    <row r="38" spans="2:16" ht="15.75" thickBot="1">
      <c r="B38" s="219" t="s">
        <v>294</v>
      </c>
      <c r="F38" s="131" t="s">
        <v>970</v>
      </c>
      <c r="G38" s="132" t="s">
        <v>1003</v>
      </c>
      <c r="H38" s="232">
        <f t="shared" ref="H38:H40" si="4">M38</f>
        <v>0</v>
      </c>
      <c r="I38" s="133">
        <f>IFERROR(VLOOKUP(B38,'Balance Ag'!$B$6:$G$1000,4,0),0)</f>
        <v>0</v>
      </c>
      <c r="J38" s="134">
        <f t="shared" si="0"/>
        <v>0</v>
      </c>
      <c r="L38" s="253" t="s">
        <v>1327</v>
      </c>
      <c r="M38" s="266"/>
      <c r="N38" s="296"/>
      <c r="O38" s="296"/>
      <c r="P38" s="267"/>
    </row>
    <row r="39" spans="2:16" ht="15.75" thickBot="1">
      <c r="B39" s="219" t="s">
        <v>393</v>
      </c>
      <c r="F39" s="131" t="s">
        <v>971</v>
      </c>
      <c r="G39" s="132" t="s">
        <v>1004</v>
      </c>
      <c r="H39" s="232">
        <f t="shared" si="4"/>
        <v>0</v>
      </c>
      <c r="I39" s="133">
        <f>IFERROR(VLOOKUP(B39,'Balance Ag'!$B$6:$G$1000,4,0),0)</f>
        <v>0</v>
      </c>
      <c r="J39" s="134">
        <f t="shared" si="0"/>
        <v>0</v>
      </c>
      <c r="L39" s="253" t="s">
        <v>1328</v>
      </c>
      <c r="M39" s="266"/>
      <c r="N39" s="296"/>
      <c r="O39" s="296"/>
      <c r="P39" s="267"/>
    </row>
    <row r="40" spans="2:16" ht="15.75" thickBot="1">
      <c r="B40" s="219" t="s">
        <v>394</v>
      </c>
      <c r="F40" s="131" t="s">
        <v>972</v>
      </c>
      <c r="G40" s="132" t="s">
        <v>1005</v>
      </c>
      <c r="H40" s="232">
        <f t="shared" si="4"/>
        <v>0</v>
      </c>
      <c r="I40" s="133">
        <f>IFERROR(VLOOKUP(B40,'Balance Ag'!$B$6:$G$1000,4,0),0)</f>
        <v>0</v>
      </c>
      <c r="J40" s="134">
        <f t="shared" si="0"/>
        <v>0</v>
      </c>
      <c r="L40" s="253" t="s">
        <v>1329</v>
      </c>
      <c r="M40" s="266"/>
      <c r="N40" s="296"/>
      <c r="O40" s="296"/>
      <c r="P40" s="267"/>
    </row>
    <row r="41" spans="2:16" ht="15.75" thickBot="1">
      <c r="F41" s="128" t="s">
        <v>1008</v>
      </c>
      <c r="G41" s="135"/>
      <c r="H41" s="201">
        <f>O41</f>
        <v>0</v>
      </c>
      <c r="I41" s="201">
        <f>+I42-I44</f>
        <v>0</v>
      </c>
      <c r="J41" s="202">
        <f t="shared" si="0"/>
        <v>0</v>
      </c>
      <c r="L41" s="252" t="s">
        <v>1330</v>
      </c>
      <c r="M41" s="264"/>
      <c r="N41" s="264"/>
      <c r="O41" s="265"/>
      <c r="P41" s="295"/>
    </row>
    <row r="42" spans="2:16" ht="15.75" thickBot="1">
      <c r="F42" s="130" t="s">
        <v>973</v>
      </c>
      <c r="G42" s="129"/>
      <c r="H42" s="186">
        <f>N42</f>
        <v>0</v>
      </c>
      <c r="I42" s="186">
        <f>I43</f>
        <v>0</v>
      </c>
      <c r="J42" s="164">
        <f t="shared" si="0"/>
        <v>0</v>
      </c>
      <c r="L42" s="252" t="s">
        <v>1331</v>
      </c>
      <c r="M42" s="264"/>
      <c r="N42" s="265"/>
      <c r="O42" s="264"/>
      <c r="P42" s="295"/>
    </row>
    <row r="43" spans="2:16" ht="15.75" thickBot="1">
      <c r="B43" s="219" t="s">
        <v>395</v>
      </c>
      <c r="F43" s="131" t="s">
        <v>974</v>
      </c>
      <c r="G43" s="132" t="s">
        <v>1006</v>
      </c>
      <c r="H43" s="232">
        <f>M43</f>
        <v>0</v>
      </c>
      <c r="I43" s="133">
        <f>IFERROR(VLOOKUP(B43,'Balance Ag'!$B$6:$G$1000,5,0),0)</f>
        <v>0</v>
      </c>
      <c r="J43" s="134">
        <f t="shared" si="0"/>
        <v>0</v>
      </c>
      <c r="L43" s="253" t="s">
        <v>1332</v>
      </c>
      <c r="M43" s="266"/>
      <c r="N43" s="296"/>
      <c r="O43" s="296"/>
      <c r="P43" s="267"/>
    </row>
    <row r="44" spans="2:16" ht="15.75" thickBot="1">
      <c r="F44" s="130" t="s">
        <v>975</v>
      </c>
      <c r="G44" s="129"/>
      <c r="H44" s="186">
        <f>N44</f>
        <v>0</v>
      </c>
      <c r="I44" s="186">
        <f>I45</f>
        <v>0</v>
      </c>
      <c r="J44" s="164">
        <f t="shared" si="0"/>
        <v>0</v>
      </c>
      <c r="L44" s="252" t="s">
        <v>1333</v>
      </c>
      <c r="M44" s="264"/>
      <c r="N44" s="265"/>
      <c r="O44" s="264"/>
      <c r="P44" s="295"/>
    </row>
    <row r="45" spans="2:16" ht="15.75" thickBot="1">
      <c r="B45" s="219" t="s">
        <v>1252</v>
      </c>
      <c r="C45" s="219" t="s">
        <v>1253</v>
      </c>
      <c r="D45" s="219" t="s">
        <v>1247</v>
      </c>
      <c r="F45" s="131" t="s">
        <v>976</v>
      </c>
      <c r="G45" s="132" t="s">
        <v>1009</v>
      </c>
      <c r="H45" s="232">
        <f>M45</f>
        <v>0</v>
      </c>
      <c r="I45" s="133"/>
      <c r="J45" s="134">
        <f t="shared" si="0"/>
        <v>0</v>
      </c>
      <c r="L45" s="253" t="s">
        <v>1334</v>
      </c>
      <c r="M45" s="266"/>
      <c r="N45" s="296"/>
      <c r="O45" s="296"/>
      <c r="P45" s="267"/>
    </row>
    <row r="46" spans="2:16" ht="15.75" thickBot="1">
      <c r="F46" s="136" t="s">
        <v>272</v>
      </c>
      <c r="G46" s="129"/>
      <c r="H46" s="233">
        <f>P46</f>
        <v>0</v>
      </c>
      <c r="I46" s="233">
        <f>I47-I48</f>
        <v>0</v>
      </c>
      <c r="J46" s="234">
        <f t="shared" si="0"/>
        <v>0</v>
      </c>
      <c r="L46" s="260" t="s">
        <v>272</v>
      </c>
      <c r="M46" s="264"/>
      <c r="N46" s="264"/>
      <c r="O46" s="264"/>
      <c r="P46" s="256"/>
    </row>
    <row r="47" spans="2:16" ht="15.75" thickBot="1">
      <c r="F47" s="130" t="s">
        <v>977</v>
      </c>
      <c r="G47" s="103">
        <v>1</v>
      </c>
      <c r="H47" s="186">
        <f>O47</f>
        <v>0</v>
      </c>
      <c r="I47" s="186">
        <f>'Fondos no Pptarios'!G9</f>
        <v>0</v>
      </c>
      <c r="J47" s="164">
        <f t="shared" si="0"/>
        <v>0</v>
      </c>
      <c r="L47" s="252" t="s">
        <v>1335</v>
      </c>
      <c r="M47" s="264"/>
      <c r="N47" s="264"/>
      <c r="O47" s="265"/>
      <c r="P47" s="295"/>
    </row>
    <row r="48" spans="2:16" ht="15.75" thickBot="1">
      <c r="F48" s="130" t="s">
        <v>978</v>
      </c>
      <c r="G48" s="103">
        <v>2</v>
      </c>
      <c r="H48" s="186">
        <f>O48</f>
        <v>0</v>
      </c>
      <c r="I48" s="186">
        <f>'Fondos no Pptarios'!G18</f>
        <v>0</v>
      </c>
      <c r="J48" s="164">
        <f t="shared" si="0"/>
        <v>0</v>
      </c>
      <c r="L48" s="252" t="s">
        <v>1336</v>
      </c>
      <c r="M48" s="264"/>
      <c r="N48" s="264"/>
      <c r="O48" s="265"/>
      <c r="P48" s="295"/>
    </row>
    <row r="49" spans="1:16" ht="15.75" thickBot="1">
      <c r="F49" s="136" t="s">
        <v>979</v>
      </c>
      <c r="G49" s="129"/>
      <c r="H49" s="233">
        <f>P49</f>
        <v>0</v>
      </c>
      <c r="I49" s="233">
        <f>I51-I50</f>
        <v>0</v>
      </c>
      <c r="J49" s="234">
        <f t="shared" si="0"/>
        <v>0</v>
      </c>
      <c r="L49" s="252" t="s">
        <v>1337</v>
      </c>
      <c r="M49" s="264"/>
      <c r="N49" s="264"/>
      <c r="O49" s="264"/>
      <c r="P49" s="256"/>
    </row>
    <row r="50" spans="1:16" ht="15.75" thickBot="1">
      <c r="B50" s="219" t="s">
        <v>147</v>
      </c>
      <c r="C50" s="219" t="s">
        <v>215</v>
      </c>
      <c r="F50" s="131" t="s">
        <v>980</v>
      </c>
      <c r="G50" s="132" t="s">
        <v>1010</v>
      </c>
      <c r="H50" s="232">
        <f>P50</f>
        <v>0</v>
      </c>
      <c r="I50" s="133">
        <f>IFERROR(VLOOKUP(B50,'Balance Ag'!$B$6:$G$1000,3,0),0)+IFERROR(VLOOKUP(C50,'Balance Ag'!$B$6:$G$1000,3,0),0)</f>
        <v>0</v>
      </c>
      <c r="J50" s="134">
        <f t="shared" si="0"/>
        <v>0</v>
      </c>
      <c r="L50" s="253" t="s">
        <v>980</v>
      </c>
      <c r="M50" s="296"/>
      <c r="N50" s="296"/>
      <c r="O50" s="296"/>
      <c r="P50" s="257"/>
    </row>
    <row r="51" spans="1:16" ht="15.75" thickBot="1">
      <c r="B51" s="219" t="s">
        <v>147</v>
      </c>
      <c r="C51" s="219" t="s">
        <v>215</v>
      </c>
      <c r="F51" s="137" t="s">
        <v>981</v>
      </c>
      <c r="G51" s="138" t="s">
        <v>1010</v>
      </c>
      <c r="H51" s="235">
        <f>P51</f>
        <v>0</v>
      </c>
      <c r="I51" s="139">
        <f>IFERROR(VLOOKUP(B51,'Balance Ag'!$B$6:$G$1000,6,0),0)+IFERROR(VLOOKUP(C51,'Balance Ag'!$B$6:$G$1000,6,0),0)</f>
        <v>0</v>
      </c>
      <c r="J51" s="140">
        <f t="shared" si="0"/>
        <v>0</v>
      </c>
      <c r="L51" s="261" t="s">
        <v>981</v>
      </c>
      <c r="M51" s="297"/>
      <c r="N51" s="297"/>
      <c r="O51" s="297"/>
      <c r="P51" s="268"/>
    </row>
    <row r="52" spans="1:16">
      <c r="F52" s="391" t="s">
        <v>263</v>
      </c>
      <c r="G52" s="124" t="s">
        <v>473</v>
      </c>
      <c r="H52" s="236">
        <f>H49</f>
        <v>0</v>
      </c>
      <c r="I52" s="236">
        <f>I49</f>
        <v>0</v>
      </c>
      <c r="J52" s="82">
        <f>H52-I52</f>
        <v>0</v>
      </c>
      <c r="K52" s="141"/>
    </row>
    <row r="53" spans="1:16">
      <c r="F53" s="391"/>
      <c r="G53" s="46" t="s">
        <v>474</v>
      </c>
      <c r="H53" s="237">
        <f>H9+H46</f>
        <v>0</v>
      </c>
      <c r="I53" s="237">
        <f>I9+I46</f>
        <v>0</v>
      </c>
      <c r="J53" s="82">
        <f>H53-I53</f>
        <v>0</v>
      </c>
    </row>
    <row r="54" spans="1:16">
      <c r="F54" s="392"/>
      <c r="G54" s="47" t="s">
        <v>259</v>
      </c>
      <c r="H54" s="238">
        <f>H52-H53</f>
        <v>0</v>
      </c>
      <c r="I54" s="238">
        <f>I52-I53</f>
        <v>0</v>
      </c>
      <c r="J54" s="82">
        <f>H54-I54</f>
        <v>0</v>
      </c>
    </row>
    <row r="63" spans="1:16">
      <c r="A63" s="219"/>
    </row>
    <row r="64" spans="1:16">
      <c r="A64" s="219"/>
    </row>
  </sheetData>
  <mergeCells count="14">
    <mergeCell ref="O3:O4"/>
    <mergeCell ref="L5:L6"/>
    <mergeCell ref="M5:N6"/>
    <mergeCell ref="O5:O6"/>
    <mergeCell ref="L7:L8"/>
    <mergeCell ref="M7:N8"/>
    <mergeCell ref="O7:O8"/>
    <mergeCell ref="F52:F54"/>
    <mergeCell ref="L1:L2"/>
    <mergeCell ref="M1:M2"/>
    <mergeCell ref="N1:N2"/>
    <mergeCell ref="L3:L4"/>
    <mergeCell ref="M3:N4"/>
    <mergeCell ref="F3:G4"/>
  </mergeCells>
  <hyperlinks>
    <hyperlink ref="L46" r:id="rId1" display="javascript:verDetalle()" xr:uid="{00000000-0004-0000-0400-000000000000}"/>
  </hyperlinks>
  <pageMargins left="0" right="0" top="0" bottom="0" header="0.31496062992125984" footer="0.31496062992125984"/>
  <pageSetup scale="33" orientation="portrait" horizontalDpi="4294967294" verticalDpi="4294967294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M28"/>
  <sheetViews>
    <sheetView workbookViewId="0">
      <selection activeCell="E26" sqref="E26"/>
    </sheetView>
  </sheetViews>
  <sheetFormatPr baseColWidth="10" defaultRowHeight="15"/>
  <cols>
    <col min="1" max="1" width="11.42578125" style="81"/>
    <col min="2" max="3" width="6" style="218" hidden="1" customWidth="1"/>
    <col min="4" max="4" width="48.140625" bestFit="1" customWidth="1"/>
    <col min="5" max="5" width="11.5703125" bestFit="1" customWidth="1"/>
    <col min="6" max="6" width="13.28515625" bestFit="1" customWidth="1"/>
    <col min="7" max="7" width="15.140625" bestFit="1" customWidth="1"/>
    <col min="8" max="8" width="15.7109375" bestFit="1" customWidth="1"/>
    <col min="10" max="10" width="55.85546875" customWidth="1"/>
    <col min="11" max="11" width="11.5703125" bestFit="1" customWidth="1"/>
    <col min="12" max="12" width="12.7109375" bestFit="1" customWidth="1"/>
  </cols>
  <sheetData>
    <row r="1" spans="2:13">
      <c r="D1" s="33"/>
      <c r="E1" s="31"/>
      <c r="F1" s="31"/>
      <c r="G1" s="31"/>
      <c r="H1" s="32"/>
      <c r="J1" s="356" t="s">
        <v>269</v>
      </c>
      <c r="K1" s="357" t="str">
        <f>'EE RR'!AB1:AB2</f>
        <v>NOMBRE DEL SERVICIO</v>
      </c>
      <c r="L1" s="353"/>
    </row>
    <row r="2" spans="2:13">
      <c r="D2" s="30"/>
      <c r="E2" s="31"/>
      <c r="F2" s="31"/>
      <c r="G2" s="31"/>
      <c r="H2" s="32"/>
      <c r="J2" s="356"/>
      <c r="K2" s="357"/>
      <c r="L2" s="353"/>
    </row>
    <row r="3" spans="2:13">
      <c r="D3" s="393" t="s">
        <v>271</v>
      </c>
      <c r="E3" s="393"/>
      <c r="F3" s="33"/>
      <c r="G3" s="33"/>
      <c r="H3" s="31"/>
      <c r="J3" s="353"/>
      <c r="K3" s="354" t="s">
        <v>271</v>
      </c>
      <c r="L3" s="354"/>
      <c r="M3" s="353"/>
    </row>
    <row r="4" spans="2:13">
      <c r="D4" s="393"/>
      <c r="E4" s="393"/>
      <c r="F4" s="33"/>
      <c r="G4" s="33"/>
      <c r="H4" s="31"/>
      <c r="J4" s="353"/>
      <c r="K4" s="354"/>
      <c r="L4" s="354"/>
      <c r="M4" s="353"/>
    </row>
    <row r="5" spans="2:13">
      <c r="D5" s="33"/>
      <c r="E5" s="33"/>
      <c r="F5" s="33"/>
      <c r="G5" s="33"/>
      <c r="H5" s="31"/>
      <c r="J5" s="353"/>
      <c r="K5" s="354"/>
      <c r="L5" s="354"/>
      <c r="M5" s="353"/>
    </row>
    <row r="6" spans="2:13">
      <c r="D6" s="33"/>
      <c r="E6" s="33"/>
      <c r="F6" s="33"/>
      <c r="G6" s="33"/>
      <c r="H6" s="31"/>
      <c r="J6" s="353"/>
      <c r="K6" s="354"/>
      <c r="L6" s="354"/>
      <c r="M6" s="353"/>
    </row>
    <row r="7" spans="2:13">
      <c r="D7" s="33" t="s">
        <v>1</v>
      </c>
      <c r="E7" s="33"/>
      <c r="F7" s="33"/>
      <c r="G7" s="33"/>
      <c r="H7" s="31"/>
      <c r="J7" s="353"/>
      <c r="K7" s="354" t="s">
        <v>1</v>
      </c>
      <c r="L7" s="354"/>
      <c r="M7" s="353"/>
    </row>
    <row r="8" spans="2:13" ht="15.75" thickBot="1">
      <c r="D8" s="34"/>
      <c r="E8" s="35"/>
      <c r="F8" s="22" t="s">
        <v>1441</v>
      </c>
      <c r="G8" s="39" t="s">
        <v>113</v>
      </c>
      <c r="H8" s="38" t="s">
        <v>118</v>
      </c>
      <c r="J8" s="353"/>
      <c r="K8" s="354"/>
      <c r="L8" s="354"/>
      <c r="M8" s="353"/>
    </row>
    <row r="9" spans="2:13" ht="15.75" thickBot="1">
      <c r="D9" s="126" t="s">
        <v>1011</v>
      </c>
      <c r="E9" s="127"/>
      <c r="F9" s="230">
        <f>L9</f>
        <v>0</v>
      </c>
      <c r="G9" s="230">
        <f>SUM(G10:G17)</f>
        <v>0</v>
      </c>
      <c r="H9" s="231">
        <f>F9-G9</f>
        <v>0</v>
      </c>
      <c r="J9" s="298" t="s">
        <v>1338</v>
      </c>
      <c r="K9" s="262"/>
      <c r="L9" s="263"/>
    </row>
    <row r="10" spans="2:13" ht="15.75" thickBot="1">
      <c r="B10" s="218" t="s">
        <v>277</v>
      </c>
      <c r="C10" s="218" t="s">
        <v>170</v>
      </c>
      <c r="D10" s="131" t="s">
        <v>1012</v>
      </c>
      <c r="E10" s="132" t="s">
        <v>1021</v>
      </c>
      <c r="F10" s="232">
        <f t="shared" ref="F10:F17" si="0">K10</f>
        <v>0</v>
      </c>
      <c r="G10" s="133">
        <f>IFERROR(VLOOKUP(B10,'Balance Ag'!$B$6:$G$1000,5,0),0)-IFERROR(VLOOKUP(C10,'Balance Ag'!$B$6:$G$1000,5,0),0)</f>
        <v>0</v>
      </c>
      <c r="H10" s="134">
        <f t="shared" ref="H10:H26" si="1">F10-G10</f>
        <v>0</v>
      </c>
      <c r="J10" s="299" t="s">
        <v>1339</v>
      </c>
      <c r="K10" s="266"/>
      <c r="L10" s="267"/>
    </row>
    <row r="11" spans="2:13" ht="15.75" thickBot="1">
      <c r="B11" s="218" t="s">
        <v>404</v>
      </c>
      <c r="D11" s="131" t="s">
        <v>1013</v>
      </c>
      <c r="E11" s="132">
        <v>116</v>
      </c>
      <c r="F11" s="232">
        <f t="shared" si="0"/>
        <v>0</v>
      </c>
      <c r="G11" s="133">
        <f>IFERROR(VLOOKUP(B11,'Balance Ag'!$B$6:$G$1000,5,0),0)</f>
        <v>0</v>
      </c>
      <c r="H11" s="134">
        <f t="shared" si="1"/>
        <v>0</v>
      </c>
      <c r="J11" s="299" t="s">
        <v>1340</v>
      </c>
      <c r="K11" s="266"/>
      <c r="L11" s="267"/>
    </row>
    <row r="12" spans="2:13" ht="15.75" thickBot="1">
      <c r="B12" s="218" t="s">
        <v>405</v>
      </c>
      <c r="D12" s="131" t="s">
        <v>1014</v>
      </c>
      <c r="E12" s="132">
        <v>11901</v>
      </c>
      <c r="F12" s="232">
        <f t="shared" si="0"/>
        <v>0</v>
      </c>
      <c r="G12" s="133">
        <f>IFERROR(VLOOKUP(B12,'Balance Ag'!$B$6:$G$1000,5,0),0)</f>
        <v>0</v>
      </c>
      <c r="H12" s="134">
        <f t="shared" si="1"/>
        <v>0</v>
      </c>
      <c r="J12" s="299" t="s">
        <v>1341</v>
      </c>
      <c r="K12" s="266"/>
      <c r="L12" s="267"/>
    </row>
    <row r="13" spans="2:13" ht="15.75" thickBot="1">
      <c r="B13" s="218" t="s">
        <v>170</v>
      </c>
      <c r="D13" s="131" t="s">
        <v>1015</v>
      </c>
      <c r="E13" s="132">
        <v>11405</v>
      </c>
      <c r="F13" s="232">
        <f t="shared" si="0"/>
        <v>0</v>
      </c>
      <c r="G13" s="133">
        <f>IFERROR(VLOOKUP(B13,'Balance Ag'!$B$6:$G$1000,5,0),0)</f>
        <v>0</v>
      </c>
      <c r="H13" s="134">
        <f t="shared" si="1"/>
        <v>0</v>
      </c>
      <c r="J13" s="299" t="s">
        <v>1342</v>
      </c>
      <c r="K13" s="266"/>
      <c r="L13" s="267"/>
    </row>
    <row r="14" spans="2:13" ht="15.75" thickBot="1">
      <c r="B14" s="218" t="s">
        <v>343</v>
      </c>
      <c r="D14" s="131" t="s">
        <v>1016</v>
      </c>
      <c r="E14" s="132">
        <v>113</v>
      </c>
      <c r="F14" s="232">
        <f t="shared" si="0"/>
        <v>0</v>
      </c>
      <c r="G14" s="133">
        <f>IFERROR(VLOOKUP(B14,'Balance Ag'!$B$6:$G$1000,5,0),0)</f>
        <v>0</v>
      </c>
      <c r="H14" s="134">
        <f t="shared" si="1"/>
        <v>0</v>
      </c>
      <c r="J14" s="299" t="s">
        <v>1343</v>
      </c>
      <c r="K14" s="266"/>
      <c r="L14" s="267"/>
    </row>
    <row r="15" spans="2:13" ht="15.75" thickBot="1">
      <c r="B15" s="218" t="s">
        <v>290</v>
      </c>
      <c r="D15" s="131" t="s">
        <v>1017</v>
      </c>
      <c r="E15" s="132">
        <v>214</v>
      </c>
      <c r="F15" s="232">
        <f t="shared" si="0"/>
        <v>0</v>
      </c>
      <c r="G15" s="133">
        <f>IFERROR(VLOOKUP(B15,'Balance Ag'!$B$6:$G$1000,5,0),0)</f>
        <v>0</v>
      </c>
      <c r="H15" s="134">
        <f t="shared" si="1"/>
        <v>0</v>
      </c>
      <c r="J15" s="299" t="s">
        <v>1344</v>
      </c>
      <c r="K15" s="266"/>
      <c r="L15" s="267"/>
    </row>
    <row r="16" spans="2:13" ht="15.75" thickBot="1">
      <c r="B16" s="218" t="s">
        <v>406</v>
      </c>
      <c r="D16" s="131" t="s">
        <v>1018</v>
      </c>
      <c r="E16" s="132">
        <v>216</v>
      </c>
      <c r="F16" s="232">
        <f t="shared" si="0"/>
        <v>0</v>
      </c>
      <c r="G16" s="133">
        <f>IFERROR(VLOOKUP(B16,'Balance Ag'!$B$6:$G$1000,5,0),0)</f>
        <v>0</v>
      </c>
      <c r="H16" s="134">
        <f t="shared" si="1"/>
        <v>0</v>
      </c>
      <c r="J16" s="299" t="s">
        <v>1345</v>
      </c>
      <c r="K16" s="266"/>
      <c r="L16" s="267"/>
    </row>
    <row r="17" spans="2:12" ht="15.75" thickBot="1">
      <c r="B17" s="218" t="s">
        <v>407</v>
      </c>
      <c r="D17" s="131" t="s">
        <v>1019</v>
      </c>
      <c r="E17" s="132">
        <v>21901</v>
      </c>
      <c r="F17" s="232">
        <f t="shared" si="0"/>
        <v>0</v>
      </c>
      <c r="G17" s="133">
        <f>IFERROR(VLOOKUP(B17,'Balance Ag'!$B$6:$G$1000,5,0),0)</f>
        <v>0</v>
      </c>
      <c r="H17" s="134">
        <f t="shared" si="1"/>
        <v>0</v>
      </c>
      <c r="J17" s="299" t="s">
        <v>1346</v>
      </c>
      <c r="K17" s="266"/>
      <c r="L17" s="267"/>
    </row>
    <row r="18" spans="2:12" ht="15.75" thickBot="1">
      <c r="D18" s="136" t="s">
        <v>1020</v>
      </c>
      <c r="E18" s="129"/>
      <c r="F18" s="233">
        <f>L18</f>
        <v>0</v>
      </c>
      <c r="G18" s="233">
        <f>SUM(G19:G26)</f>
        <v>0</v>
      </c>
      <c r="H18" s="234">
        <f t="shared" si="1"/>
        <v>0</v>
      </c>
      <c r="J18" s="300" t="s">
        <v>1347</v>
      </c>
      <c r="K18" s="264"/>
      <c r="L18" s="256"/>
    </row>
    <row r="19" spans="2:12" ht="15.75" thickBot="1">
      <c r="B19" s="218" t="s">
        <v>277</v>
      </c>
      <c r="C19" s="218" t="s">
        <v>170</v>
      </c>
      <c r="D19" s="131" t="s">
        <v>1012</v>
      </c>
      <c r="E19" s="132" t="s">
        <v>1022</v>
      </c>
      <c r="F19" s="232">
        <f t="shared" ref="F19:F26" si="2">K19</f>
        <v>0</v>
      </c>
      <c r="G19" s="133">
        <f>IFERROR(VLOOKUP(B19,'Balance Ag'!$B$6:$G$1000,4,0),0)-IFERROR(VLOOKUP(C19,'Balance Ag'!$B$6:$G$1000,4,0),0)</f>
        <v>0</v>
      </c>
      <c r="H19" s="134">
        <f t="shared" si="1"/>
        <v>0</v>
      </c>
      <c r="J19" s="299" t="s">
        <v>1339</v>
      </c>
      <c r="K19" s="266"/>
      <c r="L19" s="267"/>
    </row>
    <row r="20" spans="2:12" ht="15.75" thickBot="1">
      <c r="B20" s="218" t="s">
        <v>404</v>
      </c>
      <c r="D20" s="131" t="s">
        <v>1013</v>
      </c>
      <c r="E20" s="132">
        <v>116</v>
      </c>
      <c r="F20" s="232">
        <f t="shared" si="2"/>
        <v>0</v>
      </c>
      <c r="G20" s="133">
        <f>IFERROR(VLOOKUP(B20,'Balance Ag'!$B$6:$G$1000,4,0),0)</f>
        <v>0</v>
      </c>
      <c r="H20" s="134">
        <f t="shared" si="1"/>
        <v>0</v>
      </c>
      <c r="J20" s="299" t="s">
        <v>1340</v>
      </c>
      <c r="K20" s="266"/>
      <c r="L20" s="267"/>
    </row>
    <row r="21" spans="2:12" ht="15.75" thickBot="1">
      <c r="B21" s="218" t="s">
        <v>405</v>
      </c>
      <c r="D21" s="131" t="s">
        <v>1014</v>
      </c>
      <c r="E21" s="132">
        <v>11901</v>
      </c>
      <c r="F21" s="232">
        <f t="shared" si="2"/>
        <v>0</v>
      </c>
      <c r="G21" s="133">
        <f>IFERROR(VLOOKUP(B21,'Balance Ag'!$B$6:$G$1000,4,0),0)</f>
        <v>0</v>
      </c>
      <c r="H21" s="134">
        <f t="shared" si="1"/>
        <v>0</v>
      </c>
      <c r="J21" s="299" t="s">
        <v>1341</v>
      </c>
      <c r="K21" s="266"/>
      <c r="L21" s="267"/>
    </row>
    <row r="22" spans="2:12" ht="15.75" thickBot="1">
      <c r="B22" s="218" t="s">
        <v>170</v>
      </c>
      <c r="D22" s="131" t="s">
        <v>1015</v>
      </c>
      <c r="E22" s="132">
        <v>11405</v>
      </c>
      <c r="F22" s="232">
        <f t="shared" si="2"/>
        <v>0</v>
      </c>
      <c r="G22" s="133">
        <f>IFERROR(VLOOKUP(B22,'Balance Ag'!$B$6:$G$1000,4,0),0)</f>
        <v>0</v>
      </c>
      <c r="H22" s="134">
        <f t="shared" si="1"/>
        <v>0</v>
      </c>
      <c r="J22" s="299" t="s">
        <v>1342</v>
      </c>
      <c r="K22" s="266"/>
      <c r="L22" s="267"/>
    </row>
    <row r="23" spans="2:12" ht="15.75" thickBot="1">
      <c r="B23" s="218" t="s">
        <v>343</v>
      </c>
      <c r="D23" s="131" t="s">
        <v>1016</v>
      </c>
      <c r="E23" s="132">
        <v>113</v>
      </c>
      <c r="F23" s="232">
        <f t="shared" si="2"/>
        <v>0</v>
      </c>
      <c r="G23" s="133">
        <f>IFERROR(VLOOKUP(B23,'Balance Ag'!$B$6:$G$1000,4,0),0)</f>
        <v>0</v>
      </c>
      <c r="H23" s="134">
        <f t="shared" si="1"/>
        <v>0</v>
      </c>
      <c r="J23" s="299" t="s">
        <v>1343</v>
      </c>
      <c r="K23" s="266"/>
      <c r="L23" s="267"/>
    </row>
    <row r="24" spans="2:12" ht="15.75" thickBot="1">
      <c r="B24" s="218" t="s">
        <v>290</v>
      </c>
      <c r="D24" s="131" t="s">
        <v>1017</v>
      </c>
      <c r="E24" s="132">
        <v>214</v>
      </c>
      <c r="F24" s="232">
        <f t="shared" si="2"/>
        <v>0</v>
      </c>
      <c r="G24" s="133">
        <f>IFERROR(VLOOKUP(B24,'Balance Ag'!$B$6:$G$1000,4,0),0)</f>
        <v>0</v>
      </c>
      <c r="H24" s="134">
        <f t="shared" si="1"/>
        <v>0</v>
      </c>
      <c r="J24" s="299" t="s">
        <v>1344</v>
      </c>
      <c r="K24" s="266"/>
      <c r="L24" s="267"/>
    </row>
    <row r="25" spans="2:12" ht="15.75" thickBot="1">
      <c r="B25" s="218" t="s">
        <v>406</v>
      </c>
      <c r="D25" s="131" t="s">
        <v>1018</v>
      </c>
      <c r="E25" s="132">
        <v>216</v>
      </c>
      <c r="F25" s="232">
        <f t="shared" si="2"/>
        <v>0</v>
      </c>
      <c r="G25" s="133">
        <f>IFERROR(VLOOKUP(B25,'Balance Ag'!$B$6:$G$1000,4,0),0)</f>
        <v>0</v>
      </c>
      <c r="H25" s="134">
        <f t="shared" si="1"/>
        <v>0</v>
      </c>
      <c r="J25" s="299" t="s">
        <v>1345</v>
      </c>
      <c r="K25" s="266"/>
      <c r="L25" s="267"/>
    </row>
    <row r="26" spans="2:12" ht="15.75" thickBot="1">
      <c r="B26" s="218" t="s">
        <v>407</v>
      </c>
      <c r="D26" s="137" t="s">
        <v>1019</v>
      </c>
      <c r="E26" s="138">
        <v>21901</v>
      </c>
      <c r="F26" s="235">
        <f t="shared" si="2"/>
        <v>0</v>
      </c>
      <c r="G26" s="139">
        <f>IFERROR(VLOOKUP(B26,'Balance Ag'!$B$6:$G$1000,4,0),0)</f>
        <v>0</v>
      </c>
      <c r="H26" s="140">
        <f t="shared" si="1"/>
        <v>0</v>
      </c>
      <c r="J26" s="301" t="s">
        <v>1346</v>
      </c>
      <c r="K26" s="269"/>
      <c r="L26" s="270"/>
    </row>
    <row r="28" spans="2:12">
      <c r="F28" s="82">
        <f>+F9-F18</f>
        <v>0</v>
      </c>
      <c r="G28" s="82">
        <f>+G9-G18</f>
        <v>0</v>
      </c>
      <c r="H28" s="82">
        <f>F28-G28</f>
        <v>0</v>
      </c>
    </row>
  </sheetData>
  <mergeCells count="13">
    <mergeCell ref="J5:J6"/>
    <mergeCell ref="K5:L6"/>
    <mergeCell ref="M5:M6"/>
    <mergeCell ref="J7:J8"/>
    <mergeCell ref="K7:L8"/>
    <mergeCell ref="M7:M8"/>
    <mergeCell ref="D3:E4"/>
    <mergeCell ref="M3:M4"/>
    <mergeCell ref="J1:J2"/>
    <mergeCell ref="K1:K2"/>
    <mergeCell ref="L1:L2"/>
    <mergeCell ref="J3:J4"/>
    <mergeCell ref="K3:L4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N29"/>
  <sheetViews>
    <sheetView showGridLines="0" zoomScale="85" zoomScaleNormal="85" workbookViewId="0">
      <selection activeCell="L11" sqref="L11:L12"/>
    </sheetView>
  </sheetViews>
  <sheetFormatPr baseColWidth="10" defaultRowHeight="15"/>
  <cols>
    <col min="1" max="1" width="3.5703125" style="239" customWidth="1"/>
    <col min="2" max="3" width="7.7109375" style="239" customWidth="1"/>
    <col min="4" max="4" width="44.85546875" style="81" bestFit="1" customWidth="1"/>
    <col min="5" max="5" width="46.7109375" style="81" bestFit="1" customWidth="1"/>
    <col min="6" max="6" width="15.140625" style="81" bestFit="1" customWidth="1"/>
    <col min="7" max="7" width="19.42578125" style="81" bestFit="1" customWidth="1"/>
    <col min="8" max="8" width="14.42578125" style="81" bestFit="1" customWidth="1"/>
    <col min="9" max="9" width="11.42578125" style="81"/>
    <col min="10" max="10" width="71.42578125" style="81" customWidth="1"/>
    <col min="11" max="12" width="11.85546875" style="81" bestFit="1" customWidth="1"/>
    <col min="13" max="16384" width="11.42578125" style="81"/>
  </cols>
  <sheetData>
    <row r="1" spans="1:14">
      <c r="D1" s="142"/>
      <c r="E1" s="142"/>
      <c r="F1" s="142"/>
      <c r="G1" s="142"/>
      <c r="J1" s="356" t="s">
        <v>269</v>
      </c>
      <c r="K1" s="357" t="str">
        <f>'EE RR'!AB1:AB2</f>
        <v>NOMBRE DEL SERVICIO</v>
      </c>
      <c r="L1" s="353"/>
      <c r="M1"/>
    </row>
    <row r="2" spans="1:14">
      <c r="J2" s="356"/>
      <c r="K2" s="357"/>
      <c r="L2" s="353"/>
      <c r="M2"/>
    </row>
    <row r="3" spans="1:14">
      <c r="D3" s="393" t="s">
        <v>268</v>
      </c>
      <c r="E3" s="393"/>
      <c r="F3" s="142"/>
      <c r="G3" s="142"/>
      <c r="J3" s="353"/>
      <c r="K3" s="354" t="s">
        <v>268</v>
      </c>
      <c r="L3" s="354"/>
      <c r="M3" s="353"/>
    </row>
    <row r="4" spans="1:14">
      <c r="D4" s="393"/>
      <c r="E4" s="393"/>
      <c r="J4" s="353"/>
      <c r="K4" s="354"/>
      <c r="L4" s="354"/>
      <c r="M4" s="353"/>
    </row>
    <row r="5" spans="1:14">
      <c r="D5" s="142"/>
      <c r="E5" s="142"/>
      <c r="F5" s="142"/>
      <c r="G5" s="142"/>
      <c r="J5" s="353"/>
      <c r="K5" s="354"/>
      <c r="L5" s="354"/>
      <c r="M5" s="353"/>
    </row>
    <row r="6" spans="1:14">
      <c r="J6" s="353"/>
      <c r="K6" s="354"/>
      <c r="L6" s="354"/>
      <c r="M6" s="353"/>
    </row>
    <row r="7" spans="1:14">
      <c r="D7" s="142" t="s">
        <v>1</v>
      </c>
      <c r="E7" s="142"/>
      <c r="F7" s="142"/>
      <c r="G7" s="142"/>
      <c r="J7" s="353"/>
      <c r="K7" s="354" t="s">
        <v>1</v>
      </c>
      <c r="L7" s="354"/>
      <c r="M7" s="353"/>
    </row>
    <row r="8" spans="1:14" ht="15.75" thickBot="1">
      <c r="J8" s="353"/>
      <c r="K8" s="354"/>
      <c r="L8" s="354"/>
      <c r="M8" s="353"/>
    </row>
    <row r="9" spans="1:14" ht="15.75" thickBot="1">
      <c r="D9" s="147" t="s">
        <v>2</v>
      </c>
      <c r="E9" s="148"/>
      <c r="F9" s="149" t="s">
        <v>1441</v>
      </c>
      <c r="G9" s="150" t="s">
        <v>113</v>
      </c>
      <c r="H9" s="151" t="s">
        <v>186</v>
      </c>
      <c r="J9" s="345" t="s">
        <v>2</v>
      </c>
      <c r="K9" s="400">
        <v>43465</v>
      </c>
      <c r="L9" s="400"/>
      <c r="M9" s="400">
        <v>43100</v>
      </c>
      <c r="N9" s="400"/>
    </row>
    <row r="10" spans="1:14" ht="15.75" thickBot="1">
      <c r="D10" s="126" t="s">
        <v>1023</v>
      </c>
      <c r="E10" s="127"/>
      <c r="F10" s="240">
        <f>L10</f>
        <v>0</v>
      </c>
      <c r="G10" s="240">
        <f>+G13</f>
        <v>0</v>
      </c>
      <c r="H10" s="241">
        <f>F10-G10</f>
        <v>0</v>
      </c>
      <c r="J10" s="275" t="s">
        <v>1348</v>
      </c>
      <c r="K10" s="277"/>
      <c r="L10" s="263"/>
      <c r="M10"/>
    </row>
    <row r="11" spans="1:14">
      <c r="D11" s="152" t="s">
        <v>1024</v>
      </c>
      <c r="E11" s="9"/>
      <c r="F11" s="242">
        <v>0</v>
      </c>
      <c r="G11" s="242"/>
      <c r="H11" s="243">
        <f t="shared" ref="H11:H24" si="0">F11-G11</f>
        <v>0</v>
      </c>
      <c r="J11" s="394" t="s">
        <v>1349</v>
      </c>
      <c r="K11" s="396"/>
      <c r="L11" s="398"/>
      <c r="M11"/>
    </row>
    <row r="12" spans="1:14" ht="15.75" thickBot="1">
      <c r="D12" s="152" t="s">
        <v>1025</v>
      </c>
      <c r="E12" s="9"/>
      <c r="F12" s="242">
        <v>0</v>
      </c>
      <c r="G12" s="242"/>
      <c r="H12" s="243">
        <f t="shared" si="0"/>
        <v>0</v>
      </c>
      <c r="J12" s="395"/>
      <c r="K12" s="397"/>
      <c r="L12" s="399"/>
      <c r="M12"/>
    </row>
    <row r="13" spans="1:14">
      <c r="A13" s="239" t="s">
        <v>424</v>
      </c>
      <c r="D13" s="152" t="s">
        <v>1026</v>
      </c>
      <c r="E13" s="9" t="s">
        <v>1031</v>
      </c>
      <c r="F13" s="242">
        <f>K15</f>
        <v>0</v>
      </c>
      <c r="G13" s="242">
        <f>IFERROR(VLOOKUP(A13,'Balance Ag'!$B$6:$G$1000,5,0),0)</f>
        <v>0</v>
      </c>
      <c r="H13" s="243">
        <f t="shared" si="0"/>
        <v>0</v>
      </c>
      <c r="J13" s="394" t="s">
        <v>1350</v>
      </c>
      <c r="K13" s="396"/>
      <c r="L13" s="398"/>
      <c r="M13"/>
    </row>
    <row r="14" spans="1:14" ht="15.75" thickBot="1">
      <c r="D14" s="136" t="s">
        <v>1027</v>
      </c>
      <c r="E14" s="129"/>
      <c r="F14" s="244">
        <f>L16</f>
        <v>0</v>
      </c>
      <c r="G14" s="244">
        <f>+G17</f>
        <v>0</v>
      </c>
      <c r="H14" s="245">
        <f t="shared" si="0"/>
        <v>0</v>
      </c>
      <c r="J14" s="395"/>
      <c r="K14" s="397"/>
      <c r="L14" s="399"/>
      <c r="M14"/>
    </row>
    <row r="15" spans="1:14" ht="15.75" thickBot="1">
      <c r="D15" s="152" t="s">
        <v>1024</v>
      </c>
      <c r="E15" s="9"/>
      <c r="F15" s="242">
        <v>0</v>
      </c>
      <c r="G15" s="242"/>
      <c r="H15" s="243">
        <f t="shared" si="0"/>
        <v>0</v>
      </c>
      <c r="J15" s="253" t="s">
        <v>1351</v>
      </c>
      <c r="K15" s="266"/>
      <c r="L15" s="257"/>
      <c r="M15"/>
    </row>
    <row r="16" spans="1:14" ht="15.75" thickBot="1">
      <c r="D16" s="152" t="s">
        <v>1025</v>
      </c>
      <c r="E16" s="9"/>
      <c r="F16" s="242">
        <v>0</v>
      </c>
      <c r="G16" s="242"/>
      <c r="H16" s="243">
        <f t="shared" si="0"/>
        <v>0</v>
      </c>
      <c r="J16" s="251" t="s">
        <v>1352</v>
      </c>
      <c r="K16" s="265"/>
      <c r="L16" s="256"/>
      <c r="M16"/>
    </row>
    <row r="17" spans="1:13">
      <c r="A17" s="239" t="s">
        <v>424</v>
      </c>
      <c r="D17" s="152" t="s">
        <v>1028</v>
      </c>
      <c r="E17" s="9" t="s">
        <v>1032</v>
      </c>
      <c r="F17" s="242">
        <f>K21</f>
        <v>0</v>
      </c>
      <c r="G17" s="242">
        <f>IFERROR(VLOOKUP(A17,'Balance Ag'!$B$6:$G$1000,4,0),0)</f>
        <v>0</v>
      </c>
      <c r="H17" s="243">
        <f t="shared" si="0"/>
        <v>0</v>
      </c>
      <c r="J17" s="394" t="s">
        <v>1349</v>
      </c>
      <c r="K17" s="396"/>
      <c r="L17" s="398"/>
      <c r="M17"/>
    </row>
    <row r="18" spans="1:13" ht="15.75" thickBot="1">
      <c r="D18" s="136" t="s">
        <v>785</v>
      </c>
      <c r="E18" s="129"/>
      <c r="F18" s="244">
        <f>L22</f>
        <v>0</v>
      </c>
      <c r="G18" s="244">
        <f>+G10-G14</f>
        <v>0</v>
      </c>
      <c r="H18" s="245">
        <f t="shared" si="0"/>
        <v>0</v>
      </c>
      <c r="J18" s="395"/>
      <c r="K18" s="397"/>
      <c r="L18" s="399"/>
      <c r="M18"/>
    </row>
    <row r="19" spans="1:13">
      <c r="D19" s="152" t="s">
        <v>1029</v>
      </c>
      <c r="E19" s="9"/>
      <c r="F19" s="242"/>
      <c r="G19" s="242"/>
      <c r="H19" s="243">
        <f t="shared" si="0"/>
        <v>0</v>
      </c>
      <c r="J19" s="394" t="s">
        <v>1350</v>
      </c>
      <c r="K19" s="396"/>
      <c r="L19" s="398"/>
      <c r="M19"/>
    </row>
    <row r="20" spans="1:13" ht="15.75" thickBot="1">
      <c r="A20" s="239" t="s">
        <v>145</v>
      </c>
      <c r="B20" s="239" t="s">
        <v>146</v>
      </c>
      <c r="D20" s="152" t="s">
        <v>1030</v>
      </c>
      <c r="E20" s="9" t="s">
        <v>1033</v>
      </c>
      <c r="F20" s="242">
        <f>K24</f>
        <v>0</v>
      </c>
      <c r="G20" s="242">
        <f>(-IFERROR(VLOOKUP(A20,'Balance Ag'!$B$6:$G$1000,6,0),0))-IFERROR(VLOOKUP(B20,'Balance Ag'!$B$6:$G$1000,6,0),0)</f>
        <v>0</v>
      </c>
      <c r="H20" s="243">
        <f t="shared" si="0"/>
        <v>0</v>
      </c>
      <c r="J20" s="395"/>
      <c r="K20" s="397"/>
      <c r="L20" s="399"/>
      <c r="M20"/>
    </row>
    <row r="21" spans="1:13" ht="15.75" thickBot="1">
      <c r="D21" s="136" t="s">
        <v>266</v>
      </c>
      <c r="E21" s="129"/>
      <c r="F21" s="244">
        <f>L25</f>
        <v>0</v>
      </c>
      <c r="G21" s="244">
        <f>+G18+G20</f>
        <v>0</v>
      </c>
      <c r="H21" s="245">
        <f t="shared" si="0"/>
        <v>0</v>
      </c>
      <c r="J21" s="253" t="s">
        <v>1353</v>
      </c>
      <c r="K21" s="266"/>
      <c r="L21" s="257"/>
      <c r="M21"/>
    </row>
    <row r="22" spans="1:13" ht="15.75" thickBot="1">
      <c r="D22" s="152" t="s">
        <v>265</v>
      </c>
      <c r="E22" s="145"/>
      <c r="F22" s="167"/>
      <c r="G22" s="167"/>
      <c r="H22" s="246">
        <f t="shared" si="0"/>
        <v>0</v>
      </c>
      <c r="J22" s="251" t="s">
        <v>1354</v>
      </c>
      <c r="K22" s="265"/>
      <c r="L22" s="256"/>
      <c r="M22"/>
    </row>
    <row r="23" spans="1:13" ht="15.75" thickBot="1">
      <c r="A23" s="239" t="s">
        <v>424</v>
      </c>
      <c r="D23" s="130" t="s">
        <v>786</v>
      </c>
      <c r="E23" s="103" t="s">
        <v>1034</v>
      </c>
      <c r="F23" s="191">
        <f>K27</f>
        <v>0</v>
      </c>
      <c r="G23" s="191">
        <f>IFERROR(VLOOKUP(A23,'Balance Ag'!$B$6:$G$1000,3,0),0)*-1</f>
        <v>0</v>
      </c>
      <c r="H23" s="173">
        <f t="shared" si="0"/>
        <v>0</v>
      </c>
      <c r="J23" s="252" t="s">
        <v>1355</v>
      </c>
      <c r="K23" s="265"/>
      <c r="L23" s="256"/>
      <c r="M23"/>
    </row>
    <row r="24" spans="1:13" ht="15.75" thickBot="1">
      <c r="A24" s="239" t="s">
        <v>424</v>
      </c>
      <c r="D24" s="153" t="s">
        <v>264</v>
      </c>
      <c r="E24" s="154" t="s">
        <v>1437</v>
      </c>
      <c r="F24" s="247">
        <f>K28</f>
        <v>0</v>
      </c>
      <c r="G24" s="247">
        <f>+G21+G23</f>
        <v>0</v>
      </c>
      <c r="H24" s="248">
        <f t="shared" si="0"/>
        <v>0</v>
      </c>
      <c r="J24" s="253" t="s">
        <v>1356</v>
      </c>
      <c r="K24" s="266"/>
      <c r="L24" s="257"/>
      <c r="M24"/>
    </row>
    <row r="25" spans="1:13" ht="15.75" thickBot="1">
      <c r="A25" s="239" t="s">
        <v>167</v>
      </c>
      <c r="B25" s="239" t="s">
        <v>145</v>
      </c>
      <c r="C25" s="239" t="s">
        <v>146</v>
      </c>
      <c r="D25" s="143" t="s">
        <v>263</v>
      </c>
      <c r="E25" s="146" t="s">
        <v>262</v>
      </c>
      <c r="F25" s="125">
        <f>(-IFERROR(VLOOKUP(A25,'Balance Ag'!$B$6:$G$1000,6,0),0))+(-IFERROR(VLOOKUP(B25,'Balance Ag'!$B$6:$G$1000,6,0),0))-IFERROR(VLOOKUP(C25,'Balance Ag'!$B$6:$G$1000,6,0),0)</f>
        <v>0</v>
      </c>
      <c r="G25" s="125">
        <f>(-IFERROR(VLOOKUP(A25,'Balance Ag'!$B$6:$G$1000,6,0),0))+(-IFERROR(VLOOKUP(B25,'Balance Ag'!$B$6:$G$1000,6,0),0))-IFERROR(VLOOKUP(C25,'Balance Ag'!$B$6:$G$1000,6,0),0)</f>
        <v>0</v>
      </c>
      <c r="J25" s="251" t="s">
        <v>1357</v>
      </c>
      <c r="K25" s="265"/>
      <c r="L25" s="256"/>
      <c r="M25"/>
    </row>
    <row r="26" spans="1:13" ht="15.75" thickBot="1">
      <c r="D26" s="143"/>
      <c r="E26" s="27" t="s">
        <v>261</v>
      </c>
      <c r="F26" s="26">
        <f>+F24-F25</f>
        <v>0</v>
      </c>
      <c r="G26" s="26">
        <f>+G24-G25</f>
        <v>0</v>
      </c>
      <c r="J26" s="252" t="s">
        <v>1358</v>
      </c>
      <c r="K26" s="265"/>
      <c r="L26" s="256"/>
      <c r="M26"/>
    </row>
    <row r="27" spans="1:13" ht="15.75" thickBot="1">
      <c r="D27" s="143"/>
      <c r="E27" s="27" t="s">
        <v>260</v>
      </c>
      <c r="F27" s="26">
        <f>+'EE RR'!W71</f>
        <v>0</v>
      </c>
      <c r="G27" s="26">
        <f>+'EE RR'!X71</f>
        <v>0</v>
      </c>
      <c r="J27" s="252" t="s">
        <v>1359</v>
      </c>
      <c r="K27" s="265"/>
      <c r="L27" s="256"/>
      <c r="M27"/>
    </row>
    <row r="28" spans="1:13">
      <c r="D28" s="144"/>
      <c r="E28" s="25" t="s">
        <v>259</v>
      </c>
      <c r="F28" s="24">
        <f>+F20-F27</f>
        <v>0</v>
      </c>
      <c r="G28" s="24">
        <f>+G20-G27</f>
        <v>0</v>
      </c>
      <c r="J28" s="276" t="s">
        <v>1360</v>
      </c>
      <c r="K28" s="278"/>
      <c r="L28" s="258"/>
      <c r="M28"/>
    </row>
    <row r="29" spans="1:13">
      <c r="G29" s="249"/>
    </row>
  </sheetData>
  <mergeCells count="27">
    <mergeCell ref="K9:L9"/>
    <mergeCell ref="M9:N9"/>
    <mergeCell ref="J17:J18"/>
    <mergeCell ref="K17:K18"/>
    <mergeCell ref="L17:L18"/>
    <mergeCell ref="J19:J20"/>
    <mergeCell ref="K19:K20"/>
    <mergeCell ref="L19:L20"/>
    <mergeCell ref="J11:J12"/>
    <mergeCell ref="K11:K12"/>
    <mergeCell ref="L11:L12"/>
    <mergeCell ref="J13:J14"/>
    <mergeCell ref="K13:K14"/>
    <mergeCell ref="L13:L14"/>
    <mergeCell ref="J5:J6"/>
    <mergeCell ref="K5:L6"/>
    <mergeCell ref="M5:M6"/>
    <mergeCell ref="J7:J8"/>
    <mergeCell ref="K7:L8"/>
    <mergeCell ref="M7:M8"/>
    <mergeCell ref="D3:E4"/>
    <mergeCell ref="M3:M4"/>
    <mergeCell ref="J1:J2"/>
    <mergeCell ref="K1:K2"/>
    <mergeCell ref="L1:L2"/>
    <mergeCell ref="J3:J4"/>
    <mergeCell ref="K3:L4"/>
  </mergeCells>
  <pageMargins left="0.7" right="0.7" top="0.75" bottom="0.75" header="0.3" footer="0.3"/>
  <pageSetup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12"/>
  <sheetViews>
    <sheetView workbookViewId="0">
      <pane ySplit="6" topLeftCell="A7" activePane="bottomLeft" state="frozen"/>
      <selection pane="bottomLeft" activeCell="L12" sqref="L12"/>
    </sheetView>
  </sheetViews>
  <sheetFormatPr baseColWidth="10" defaultRowHeight="15"/>
  <cols>
    <col min="1" max="1" width="11.5703125" style="76" customWidth="1"/>
    <col min="2" max="2" width="10" style="78" bestFit="1" customWidth="1"/>
    <col min="3" max="3" width="39.5703125" style="76" bestFit="1" customWidth="1"/>
    <col min="4" max="4" width="15.5703125" style="79" bestFit="1" customWidth="1"/>
    <col min="5" max="6" width="15.28515625" style="79" bestFit="1" customWidth="1"/>
    <col min="7" max="7" width="15" style="79" bestFit="1" customWidth="1"/>
    <col min="8" max="8" width="4.7109375" style="76" customWidth="1"/>
    <col min="9" max="9" width="3.140625" style="76" customWidth="1"/>
    <col min="10" max="10" width="26.85546875" style="76" customWidth="1"/>
    <col min="11" max="11" width="2" style="76" bestFit="1" customWidth="1"/>
    <col min="12" max="12" width="17" style="76" bestFit="1" customWidth="1"/>
    <col min="13" max="16384" width="11.42578125" style="76"/>
  </cols>
  <sheetData>
    <row r="1" spans="1:12" ht="15.75">
      <c r="C1" s="50" t="s">
        <v>546</v>
      </c>
    </row>
    <row r="2" spans="1:12" ht="15.75">
      <c r="A2" s="76" t="s">
        <v>9</v>
      </c>
      <c r="C2" s="51"/>
    </row>
    <row r="3" spans="1:12" ht="15.75">
      <c r="A3" s="76" t="s">
        <v>9</v>
      </c>
      <c r="C3" s="51"/>
    </row>
    <row r="4" spans="1:12" ht="15.75">
      <c r="C4" s="51" t="s">
        <v>670</v>
      </c>
    </row>
    <row r="5" spans="1:12" ht="15.75" thickBot="1"/>
    <row r="6" spans="1:12" ht="42" customHeight="1" thickBot="1">
      <c r="A6" s="77"/>
      <c r="B6" s="40" t="s">
        <v>1229</v>
      </c>
      <c r="C6" s="40" t="s">
        <v>547</v>
      </c>
      <c r="D6" s="40" t="s">
        <v>409</v>
      </c>
      <c r="E6" s="40" t="s">
        <v>410</v>
      </c>
      <c r="F6" s="40" t="s">
        <v>411</v>
      </c>
      <c r="G6" s="41" t="s">
        <v>412</v>
      </c>
      <c r="I6" s="346" t="s">
        <v>470</v>
      </c>
      <c r="J6" s="347"/>
      <c r="K6" s="348"/>
      <c r="L6" s="10" t="s">
        <v>249</v>
      </c>
    </row>
    <row r="7" spans="1:12" ht="15.75" thickBot="1">
      <c r="A7" s="77"/>
      <c r="B7" s="287"/>
      <c r="C7" s="287"/>
      <c r="D7" s="288"/>
      <c r="E7" s="288"/>
      <c r="F7" s="288"/>
      <c r="G7" s="288"/>
      <c r="I7" s="18" t="s">
        <v>143</v>
      </c>
      <c r="J7" s="23" t="s">
        <v>238</v>
      </c>
      <c r="K7" s="16" t="s">
        <v>188</v>
      </c>
      <c r="L7" s="17" t="e">
        <f>VLOOKUP(I7,$B$5:$G$10000,6,0)</f>
        <v>#N/A</v>
      </c>
    </row>
    <row r="8" spans="1:12" ht="15.75" thickBot="1">
      <c r="A8" s="77"/>
      <c r="B8" s="287"/>
      <c r="C8" s="287"/>
      <c r="D8" s="288"/>
      <c r="E8" s="288"/>
      <c r="F8" s="288"/>
      <c r="G8" s="288"/>
      <c r="I8" s="19" t="s">
        <v>144</v>
      </c>
      <c r="J8" s="23" t="s">
        <v>239</v>
      </c>
      <c r="K8" s="7" t="s">
        <v>248</v>
      </c>
      <c r="L8" s="17" t="e">
        <f>VLOOKUP(I8,$B$5:$G$10000,6,0)</f>
        <v>#N/A</v>
      </c>
    </row>
    <row r="9" spans="1:12" ht="15.75" thickBot="1">
      <c r="A9" s="77"/>
      <c r="B9" s="287"/>
      <c r="C9" s="287"/>
      <c r="D9" s="288"/>
      <c r="E9" s="288"/>
      <c r="F9" s="288"/>
      <c r="G9" s="288"/>
      <c r="I9" s="19" t="s">
        <v>167</v>
      </c>
      <c r="J9" s="23" t="s">
        <v>236</v>
      </c>
      <c r="K9" s="7" t="s">
        <v>248</v>
      </c>
      <c r="L9" s="17" t="e">
        <f>VLOOKUP(I9,$B$5:$G$10000,6,0)</f>
        <v>#N/A</v>
      </c>
    </row>
    <row r="10" spans="1:12" ht="15.75" thickBot="1">
      <c r="A10" s="77"/>
      <c r="B10" s="287"/>
      <c r="C10" s="287"/>
      <c r="D10" s="288"/>
      <c r="E10" s="288"/>
      <c r="F10" s="288"/>
      <c r="G10" s="288"/>
      <c r="I10" s="19" t="s">
        <v>145</v>
      </c>
      <c r="J10" s="23" t="s">
        <v>250</v>
      </c>
      <c r="K10" s="7" t="s">
        <v>248</v>
      </c>
      <c r="L10" s="17" t="e">
        <f>VLOOKUP(I10,$B$5:$G$10000,6,0)</f>
        <v>#N/A</v>
      </c>
    </row>
    <row r="11" spans="1:12" ht="15.75" thickBot="1">
      <c r="A11" s="77"/>
      <c r="B11" s="287"/>
      <c r="C11" s="287"/>
      <c r="D11" s="288"/>
      <c r="E11" s="288"/>
      <c r="F11" s="288"/>
      <c r="G11" s="288"/>
      <c r="I11" s="19" t="s">
        <v>146</v>
      </c>
      <c r="J11" s="23" t="s">
        <v>251</v>
      </c>
      <c r="K11" s="7" t="s">
        <v>188</v>
      </c>
      <c r="L11" s="17" t="e">
        <f>VLOOKUP(I11,$B$5:$G$10000,6,0)</f>
        <v>#N/A</v>
      </c>
    </row>
    <row r="12" spans="1:12" ht="15.75" thickBot="1">
      <c r="A12" s="77"/>
      <c r="B12" s="287"/>
      <c r="C12" s="287"/>
      <c r="D12" s="289"/>
      <c r="E12" s="288"/>
      <c r="F12" s="288"/>
      <c r="G12" s="288"/>
      <c r="I12" s="19" t="s">
        <v>243</v>
      </c>
      <c r="J12" s="23" t="s">
        <v>247</v>
      </c>
      <c r="K12" s="7" t="s">
        <v>189</v>
      </c>
      <c r="L12" s="17" t="e">
        <f>(L7+L11)+L8+L9+L10</f>
        <v>#N/A</v>
      </c>
    </row>
    <row r="13" spans="1:12">
      <c r="A13" s="77"/>
      <c r="B13" s="287"/>
      <c r="C13" s="287"/>
      <c r="D13" s="288"/>
      <c r="E13" s="288"/>
      <c r="F13" s="288"/>
      <c r="G13" s="288"/>
    </row>
    <row r="14" spans="1:12">
      <c r="A14" s="77"/>
      <c r="B14" s="287"/>
      <c r="C14" s="287"/>
      <c r="D14" s="289"/>
      <c r="E14" s="288"/>
      <c r="F14" s="288"/>
      <c r="G14" s="288"/>
    </row>
    <row r="15" spans="1:12">
      <c r="A15" s="77"/>
      <c r="B15" s="287"/>
      <c r="C15" s="287"/>
      <c r="D15" s="288"/>
      <c r="E15" s="288"/>
      <c r="F15" s="288"/>
      <c r="G15" s="288"/>
    </row>
    <row r="16" spans="1:12">
      <c r="A16" s="77"/>
      <c r="B16" s="287"/>
      <c r="C16" s="287"/>
      <c r="D16" s="289"/>
      <c r="E16" s="288"/>
      <c r="F16" s="288"/>
      <c r="G16" s="288"/>
    </row>
    <row r="17" spans="1:7">
      <c r="A17" s="77"/>
      <c r="B17" s="287"/>
      <c r="C17" s="287"/>
      <c r="D17" s="289"/>
      <c r="E17" s="288"/>
      <c r="F17" s="288"/>
      <c r="G17" s="288"/>
    </row>
    <row r="18" spans="1:7">
      <c r="A18" s="77"/>
      <c r="B18" s="287"/>
      <c r="C18" s="287"/>
      <c r="D18" s="289"/>
      <c r="E18" s="288"/>
      <c r="F18" s="288"/>
      <c r="G18" s="288"/>
    </row>
    <row r="19" spans="1:7">
      <c r="A19" s="77"/>
      <c r="B19" s="287"/>
      <c r="C19" s="287"/>
      <c r="D19" s="288"/>
      <c r="E19" s="288"/>
      <c r="F19" s="289"/>
      <c r="G19" s="288"/>
    </row>
    <row r="20" spans="1:7">
      <c r="A20" s="77"/>
      <c r="B20" s="287"/>
      <c r="C20" s="287"/>
      <c r="D20" s="289"/>
      <c r="E20" s="288"/>
      <c r="F20" s="288"/>
      <c r="G20" s="288"/>
    </row>
    <row r="21" spans="1:7">
      <c r="A21" s="77"/>
      <c r="B21" s="287"/>
      <c r="C21" s="287"/>
      <c r="D21" s="288"/>
      <c r="E21" s="288"/>
      <c r="F21" s="288"/>
      <c r="G21" s="288"/>
    </row>
    <row r="22" spans="1:7">
      <c r="A22" s="77"/>
      <c r="B22" s="287"/>
      <c r="C22" s="287"/>
      <c r="D22" s="288"/>
      <c r="E22" s="289"/>
      <c r="F22" s="289"/>
      <c r="G22" s="288"/>
    </row>
    <row r="23" spans="1:7">
      <c r="A23" s="77"/>
      <c r="B23" s="287"/>
      <c r="C23" s="287"/>
      <c r="D23" s="289"/>
      <c r="E23" s="288"/>
      <c r="F23" s="288"/>
      <c r="G23" s="289"/>
    </row>
    <row r="24" spans="1:7">
      <c r="A24" s="77"/>
      <c r="B24" s="287"/>
      <c r="C24" s="287"/>
      <c r="D24" s="289"/>
      <c r="E24" s="288"/>
      <c r="F24" s="288"/>
      <c r="G24" s="288"/>
    </row>
    <row r="25" spans="1:7">
      <c r="A25" s="77"/>
      <c r="B25" s="287"/>
      <c r="C25" s="287"/>
      <c r="D25" s="289"/>
      <c r="E25" s="288"/>
      <c r="F25" s="288"/>
      <c r="G25" s="289"/>
    </row>
    <row r="26" spans="1:7">
      <c r="A26" s="77"/>
      <c r="B26" s="287"/>
      <c r="C26" s="287"/>
      <c r="D26" s="289"/>
      <c r="E26" s="288"/>
      <c r="F26" s="288"/>
      <c r="G26" s="288"/>
    </row>
    <row r="27" spans="1:7">
      <c r="A27" s="77"/>
      <c r="B27" s="287"/>
      <c r="C27" s="287"/>
      <c r="D27" s="289"/>
      <c r="E27" s="288"/>
      <c r="F27" s="288"/>
      <c r="G27" s="289"/>
    </row>
    <row r="28" spans="1:7">
      <c r="A28" s="77"/>
      <c r="B28" s="287"/>
      <c r="C28" s="287"/>
      <c r="D28" s="289"/>
      <c r="E28" s="288"/>
      <c r="F28" s="288"/>
      <c r="G28" s="289"/>
    </row>
    <row r="29" spans="1:7">
      <c r="A29" s="77"/>
      <c r="B29" s="287"/>
      <c r="C29" s="287"/>
      <c r="D29" s="289"/>
      <c r="E29" s="288"/>
      <c r="F29" s="288"/>
      <c r="G29" s="289"/>
    </row>
    <row r="30" spans="1:7">
      <c r="A30" s="77"/>
      <c r="B30" s="287"/>
      <c r="C30" s="287"/>
      <c r="D30" s="289"/>
      <c r="E30" s="288"/>
      <c r="F30" s="288"/>
      <c r="G30" s="288"/>
    </row>
    <row r="31" spans="1:7">
      <c r="A31" s="77"/>
      <c r="B31" s="287"/>
      <c r="C31" s="287"/>
      <c r="D31" s="289"/>
      <c r="E31" s="288"/>
      <c r="F31" s="289"/>
      <c r="G31" s="288"/>
    </row>
    <row r="32" spans="1:7">
      <c r="A32" s="77"/>
      <c r="B32" s="287"/>
      <c r="C32" s="287"/>
      <c r="D32" s="289"/>
      <c r="E32" s="288"/>
      <c r="F32" s="288"/>
      <c r="G32" s="289"/>
    </row>
    <row r="33" spans="1:7">
      <c r="A33" s="77"/>
      <c r="B33" s="287"/>
      <c r="C33" s="287"/>
      <c r="D33" s="288"/>
      <c r="E33" s="289"/>
      <c r="F33" s="288"/>
      <c r="G33" s="289"/>
    </row>
    <row r="34" spans="1:7">
      <c r="A34" s="77"/>
      <c r="B34" s="287"/>
      <c r="C34" s="287"/>
      <c r="D34" s="288"/>
      <c r="E34" s="289"/>
      <c r="F34" s="288"/>
      <c r="G34" s="289"/>
    </row>
    <row r="35" spans="1:7">
      <c r="A35" s="77"/>
      <c r="B35" s="287"/>
      <c r="C35" s="287"/>
      <c r="D35" s="289"/>
      <c r="E35" s="289"/>
      <c r="F35" s="289"/>
      <c r="G35" s="289"/>
    </row>
    <row r="36" spans="1:7">
      <c r="A36" s="77"/>
      <c r="B36" s="287"/>
      <c r="C36" s="287"/>
      <c r="D36" s="288"/>
      <c r="E36" s="289"/>
      <c r="F36" s="288"/>
      <c r="G36" s="289"/>
    </row>
    <row r="37" spans="1:7">
      <c r="A37" s="77"/>
      <c r="B37" s="287"/>
      <c r="C37" s="287"/>
      <c r="D37" s="289"/>
      <c r="E37" s="288"/>
      <c r="F37" s="289"/>
      <c r="G37" s="288"/>
    </row>
    <row r="38" spans="1:7">
      <c r="A38" s="77"/>
      <c r="B38" s="287"/>
      <c r="C38" s="287"/>
      <c r="D38" s="289"/>
      <c r="E38" s="288"/>
      <c r="F38" s="289"/>
      <c r="G38" s="288"/>
    </row>
    <row r="39" spans="1:7">
      <c r="A39" s="77"/>
      <c r="B39" s="287"/>
      <c r="C39" s="287"/>
      <c r="D39" s="289"/>
      <c r="E39" s="289"/>
      <c r="F39" s="289"/>
      <c r="G39" s="289"/>
    </row>
    <row r="40" spans="1:7">
      <c r="A40" s="77"/>
      <c r="B40" s="287"/>
      <c r="C40" s="287"/>
      <c r="D40" s="289"/>
      <c r="E40" s="289"/>
      <c r="F40" s="289"/>
      <c r="G40" s="289"/>
    </row>
    <row r="41" spans="1:7">
      <c r="A41" s="77"/>
      <c r="B41" s="287"/>
      <c r="C41" s="287"/>
      <c r="D41" s="289"/>
      <c r="E41" s="289"/>
      <c r="F41" s="289"/>
      <c r="G41" s="289"/>
    </row>
    <row r="42" spans="1:7">
      <c r="A42" s="77"/>
      <c r="B42" s="287"/>
      <c r="C42" s="287"/>
      <c r="D42" s="289"/>
      <c r="E42" s="289"/>
      <c r="F42" s="289"/>
      <c r="G42" s="289"/>
    </row>
    <row r="43" spans="1:7">
      <c r="A43" s="77"/>
      <c r="B43" s="287"/>
      <c r="C43" s="287"/>
      <c r="D43" s="289"/>
      <c r="E43" s="289"/>
      <c r="F43" s="289"/>
      <c r="G43" s="289"/>
    </row>
    <row r="44" spans="1:7">
      <c r="A44" s="77"/>
      <c r="B44" s="287"/>
      <c r="C44" s="287"/>
      <c r="D44" s="289"/>
      <c r="E44" s="289"/>
      <c r="F44" s="289"/>
      <c r="G44" s="289"/>
    </row>
    <row r="45" spans="1:7">
      <c r="A45" s="77"/>
      <c r="B45" s="287"/>
      <c r="C45" s="287"/>
      <c r="D45" s="289"/>
      <c r="E45" s="289"/>
      <c r="F45" s="289"/>
      <c r="G45" s="289"/>
    </row>
    <row r="46" spans="1:7">
      <c r="A46" s="77"/>
      <c r="B46" s="287"/>
      <c r="C46" s="287"/>
      <c r="D46" s="289"/>
      <c r="E46" s="289"/>
      <c r="F46" s="289"/>
      <c r="G46" s="289"/>
    </row>
    <row r="47" spans="1:7">
      <c r="A47" s="77"/>
      <c r="B47" s="287"/>
      <c r="C47" s="287"/>
      <c r="D47" s="289"/>
      <c r="E47" s="289"/>
      <c r="F47" s="289"/>
      <c r="G47" s="289"/>
    </row>
    <row r="48" spans="1:7">
      <c r="A48" s="77"/>
      <c r="B48" s="287"/>
      <c r="C48" s="287"/>
      <c r="D48" s="289"/>
      <c r="E48" s="289"/>
      <c r="F48" s="289"/>
      <c r="G48" s="289"/>
    </row>
    <row r="49" spans="1:7">
      <c r="A49" s="77"/>
      <c r="B49" s="287"/>
      <c r="C49" s="287"/>
      <c r="D49" s="289"/>
      <c r="E49" s="289"/>
      <c r="F49" s="289"/>
      <c r="G49" s="289"/>
    </row>
    <row r="50" spans="1:7">
      <c r="A50" s="77"/>
      <c r="B50" s="287"/>
      <c r="C50" s="287"/>
      <c r="D50" s="288"/>
      <c r="E50" s="288"/>
      <c r="F50" s="288"/>
      <c r="G50" s="288"/>
    </row>
    <row r="51" spans="1:7">
      <c r="A51" s="77"/>
      <c r="B51" s="287"/>
      <c r="C51" s="287"/>
      <c r="D51" s="288"/>
      <c r="E51" s="288"/>
      <c r="F51" s="288"/>
      <c r="G51" s="288"/>
    </row>
    <row r="52" spans="1:7">
      <c r="A52" s="77"/>
      <c r="B52" s="287"/>
      <c r="C52" s="287"/>
      <c r="D52" s="288"/>
      <c r="E52" s="289"/>
      <c r="F52" s="289"/>
      <c r="G52" s="288"/>
    </row>
    <row r="53" spans="1:7">
      <c r="A53" s="77"/>
      <c r="B53" s="287"/>
      <c r="C53" s="287"/>
      <c r="D53" s="288"/>
      <c r="E53" s="288"/>
      <c r="F53" s="289"/>
      <c r="G53" s="288"/>
    </row>
    <row r="54" spans="1:7">
      <c r="A54" s="77"/>
      <c r="B54" s="287"/>
      <c r="C54" s="287"/>
      <c r="D54" s="288"/>
      <c r="E54" s="289"/>
      <c r="F54" s="288"/>
      <c r="G54" s="288"/>
    </row>
    <row r="55" spans="1:7">
      <c r="A55" s="77"/>
      <c r="B55" s="287"/>
      <c r="C55" s="287"/>
      <c r="D55" s="288"/>
      <c r="E55" s="289"/>
      <c r="F55" s="288"/>
      <c r="G55" s="288"/>
    </row>
    <row r="56" spans="1:7">
      <c r="A56" s="77"/>
      <c r="B56" s="287"/>
      <c r="C56" s="287"/>
      <c r="D56" s="288"/>
      <c r="E56" s="288"/>
      <c r="F56" s="289"/>
      <c r="G56" s="288"/>
    </row>
    <row r="57" spans="1:7">
      <c r="A57" s="77"/>
      <c r="B57" s="287"/>
      <c r="C57" s="287"/>
      <c r="D57" s="288"/>
      <c r="E57" s="289"/>
      <c r="F57" s="289"/>
      <c r="G57" s="288"/>
    </row>
    <row r="58" spans="1:7">
      <c r="A58" s="77"/>
      <c r="B58" s="287"/>
      <c r="C58" s="287"/>
      <c r="D58" s="288"/>
      <c r="E58" s="288"/>
      <c r="F58" s="289"/>
      <c r="G58" s="288"/>
    </row>
    <row r="59" spans="1:7">
      <c r="A59" s="77"/>
      <c r="B59" s="287"/>
      <c r="C59" s="287"/>
      <c r="D59" s="288"/>
      <c r="E59" s="289"/>
      <c r="F59" s="289"/>
      <c r="G59" s="288"/>
    </row>
    <row r="60" spans="1:7">
      <c r="A60" s="77"/>
      <c r="B60" s="287"/>
      <c r="C60" s="287"/>
      <c r="D60" s="289"/>
      <c r="E60" s="289"/>
      <c r="F60" s="289"/>
      <c r="G60" s="289"/>
    </row>
    <row r="61" spans="1:7">
      <c r="A61" s="77"/>
      <c r="B61" s="287"/>
      <c r="C61" s="287"/>
      <c r="D61" s="289"/>
      <c r="E61" s="289"/>
      <c r="F61" s="289"/>
      <c r="G61" s="289"/>
    </row>
    <row r="62" spans="1:7">
      <c r="A62" s="77"/>
      <c r="B62" s="287"/>
      <c r="C62" s="287"/>
      <c r="D62" s="288"/>
      <c r="E62" s="289"/>
      <c r="F62" s="289"/>
      <c r="G62" s="288"/>
    </row>
    <row r="63" spans="1:7">
      <c r="A63" s="77"/>
      <c r="B63" s="287"/>
      <c r="C63" s="287"/>
      <c r="D63" s="288"/>
      <c r="E63" s="289"/>
      <c r="F63" s="289"/>
      <c r="G63" s="288"/>
    </row>
    <row r="64" spans="1:7">
      <c r="A64" s="77"/>
      <c r="B64" s="287"/>
      <c r="C64" s="287"/>
      <c r="D64" s="288"/>
      <c r="E64" s="289"/>
      <c r="F64" s="289"/>
      <c r="G64" s="288"/>
    </row>
    <row r="65" spans="1:7">
      <c r="A65" s="77"/>
      <c r="B65" s="287"/>
      <c r="C65" s="287"/>
      <c r="D65" s="288"/>
      <c r="E65" s="289"/>
      <c r="F65" s="289"/>
      <c r="G65" s="288"/>
    </row>
    <row r="66" spans="1:7">
      <c r="A66" s="77"/>
      <c r="B66" s="287"/>
      <c r="C66" s="287"/>
      <c r="D66" s="288"/>
      <c r="E66" s="288"/>
      <c r="F66" s="289"/>
      <c r="G66" s="288"/>
    </row>
    <row r="67" spans="1:7">
      <c r="A67" s="77"/>
      <c r="B67" s="287"/>
      <c r="C67" s="287"/>
      <c r="D67" s="288"/>
      <c r="E67" s="289"/>
      <c r="F67" s="289"/>
      <c r="G67" s="288"/>
    </row>
    <row r="68" spans="1:7">
      <c r="A68" s="77"/>
      <c r="B68" s="287"/>
      <c r="C68" s="287"/>
      <c r="D68" s="288"/>
      <c r="E68" s="289"/>
      <c r="F68" s="289"/>
      <c r="G68" s="288"/>
    </row>
    <row r="69" spans="1:7">
      <c r="A69" s="77"/>
      <c r="B69" s="287"/>
      <c r="C69" s="287"/>
      <c r="D69" s="288"/>
      <c r="E69" s="288"/>
      <c r="F69" s="289"/>
      <c r="G69" s="288"/>
    </row>
    <row r="70" spans="1:7">
      <c r="A70" s="77"/>
      <c r="B70" s="287"/>
      <c r="C70" s="287"/>
      <c r="D70" s="288"/>
      <c r="E70" s="288"/>
      <c r="F70" s="289"/>
      <c r="G70" s="288"/>
    </row>
    <row r="71" spans="1:7">
      <c r="A71" s="77"/>
      <c r="B71" s="287"/>
      <c r="C71" s="287"/>
      <c r="D71" s="288"/>
      <c r="E71" s="289"/>
      <c r="F71" s="289"/>
      <c r="G71" s="288"/>
    </row>
    <row r="72" spans="1:7">
      <c r="A72" s="77"/>
      <c r="B72" s="287"/>
      <c r="C72" s="287"/>
      <c r="D72" s="288"/>
      <c r="E72" s="289"/>
      <c r="F72" s="289"/>
      <c r="G72" s="288"/>
    </row>
    <row r="73" spans="1:7">
      <c r="A73" s="77"/>
      <c r="B73" s="287"/>
      <c r="C73" s="287"/>
      <c r="D73" s="288"/>
      <c r="E73" s="289"/>
      <c r="F73" s="289"/>
      <c r="G73" s="288"/>
    </row>
    <row r="74" spans="1:7">
      <c r="A74" s="77"/>
      <c r="B74" s="287"/>
      <c r="C74" s="287"/>
      <c r="D74" s="288"/>
      <c r="E74" s="289"/>
      <c r="F74" s="289"/>
      <c r="G74" s="288"/>
    </row>
    <row r="75" spans="1:7">
      <c r="A75" s="77"/>
      <c r="B75" s="287"/>
      <c r="C75" s="287"/>
      <c r="D75" s="288"/>
      <c r="E75" s="288"/>
      <c r="F75" s="289"/>
      <c r="G75" s="288"/>
    </row>
    <row r="76" spans="1:7">
      <c r="A76" s="77"/>
      <c r="B76" s="287"/>
      <c r="C76" s="287"/>
      <c r="D76" s="288"/>
      <c r="E76" s="288"/>
      <c r="F76" s="289"/>
      <c r="G76" s="288"/>
    </row>
    <row r="77" spans="1:7">
      <c r="A77" s="77"/>
      <c r="B77" s="287"/>
      <c r="C77" s="287"/>
      <c r="D77" s="288"/>
      <c r="E77" s="288"/>
      <c r="F77" s="289"/>
      <c r="G77" s="288"/>
    </row>
    <row r="78" spans="1:7">
      <c r="A78" s="77"/>
      <c r="B78" s="287"/>
      <c r="C78" s="287"/>
      <c r="D78" s="288"/>
      <c r="E78" s="288"/>
      <c r="F78" s="289"/>
      <c r="G78" s="288"/>
    </row>
    <row r="79" spans="1:7">
      <c r="A79" s="77"/>
      <c r="B79" s="287"/>
      <c r="C79" s="287"/>
      <c r="D79" s="288"/>
      <c r="E79" s="289"/>
      <c r="F79" s="289"/>
      <c r="G79" s="288"/>
    </row>
    <row r="80" spans="1:7">
      <c r="A80" s="77"/>
      <c r="B80" s="287"/>
      <c r="C80" s="287"/>
      <c r="D80" s="288"/>
      <c r="E80" s="289"/>
      <c r="F80" s="289"/>
      <c r="G80" s="288"/>
    </row>
    <row r="81" spans="1:7">
      <c r="A81" s="77"/>
      <c r="B81" s="287"/>
      <c r="C81" s="287"/>
      <c r="D81" s="288"/>
      <c r="E81" s="289"/>
      <c r="F81" s="289"/>
      <c r="G81" s="288"/>
    </row>
    <row r="82" spans="1:7">
      <c r="A82" s="77"/>
      <c r="B82" s="287"/>
      <c r="C82" s="287"/>
      <c r="D82" s="288"/>
      <c r="E82" s="289"/>
      <c r="F82" s="289"/>
      <c r="G82" s="288"/>
    </row>
    <row r="83" spans="1:7">
      <c r="A83" s="77"/>
      <c r="B83" s="287"/>
      <c r="C83" s="287"/>
      <c r="D83" s="288"/>
      <c r="E83" s="289"/>
      <c r="F83" s="289"/>
      <c r="G83" s="288"/>
    </row>
    <row r="84" spans="1:7">
      <c r="A84" s="77"/>
      <c r="B84" s="287"/>
      <c r="C84" s="287"/>
      <c r="D84" s="289"/>
      <c r="E84" s="289"/>
      <c r="F84" s="289"/>
      <c r="G84" s="289"/>
    </row>
    <row r="85" spans="1:7">
      <c r="A85" s="77"/>
      <c r="B85" s="287"/>
      <c r="C85" s="287"/>
      <c r="D85" s="289"/>
      <c r="E85" s="289"/>
      <c r="F85" s="289"/>
      <c r="G85" s="289"/>
    </row>
    <row r="86" spans="1:7">
      <c r="A86" s="77"/>
      <c r="B86" s="287"/>
      <c r="C86" s="287"/>
      <c r="D86" s="288"/>
      <c r="E86" s="289"/>
      <c r="F86" s="289"/>
      <c r="G86" s="288"/>
    </row>
    <row r="87" spans="1:7">
      <c r="A87" s="77"/>
      <c r="B87" s="287"/>
      <c r="C87" s="287"/>
      <c r="D87" s="288"/>
      <c r="E87" s="289"/>
      <c r="F87" s="289"/>
      <c r="G87" s="288"/>
    </row>
    <row r="88" spans="1:7">
      <c r="A88" s="77"/>
      <c r="B88" s="287"/>
      <c r="C88" s="287"/>
      <c r="D88" s="288"/>
      <c r="E88" s="288"/>
      <c r="F88" s="288"/>
      <c r="G88" s="288"/>
    </row>
    <row r="89" spans="1:7">
      <c r="A89" s="77"/>
      <c r="B89" s="287"/>
      <c r="C89" s="287"/>
      <c r="D89" s="288"/>
      <c r="E89" s="288"/>
      <c r="F89" s="288"/>
      <c r="G89" s="288"/>
    </row>
    <row r="90" spans="1:7">
      <c r="A90" s="77"/>
      <c r="B90" s="287"/>
      <c r="C90" s="287"/>
      <c r="D90" s="288"/>
      <c r="E90" s="288"/>
      <c r="F90" s="288"/>
      <c r="G90" s="288"/>
    </row>
    <row r="91" spans="1:7">
      <c r="A91" s="77"/>
      <c r="B91" s="287"/>
      <c r="C91" s="287"/>
      <c r="D91" s="289"/>
      <c r="E91" s="289"/>
      <c r="F91" s="289"/>
      <c r="G91" s="289"/>
    </row>
    <row r="92" spans="1:7">
      <c r="A92" s="77"/>
      <c r="B92" s="287"/>
      <c r="C92" s="287"/>
      <c r="D92" s="288"/>
      <c r="E92" s="288"/>
      <c r="F92" s="288"/>
      <c r="G92" s="288"/>
    </row>
    <row r="93" spans="1:7">
      <c r="A93" s="77"/>
      <c r="B93" s="287"/>
      <c r="C93" s="287"/>
      <c r="D93" s="289"/>
      <c r="E93" s="288"/>
      <c r="F93" s="288"/>
      <c r="G93" s="289"/>
    </row>
    <row r="94" spans="1:7">
      <c r="A94" s="77"/>
      <c r="B94" s="287"/>
      <c r="C94" s="287"/>
      <c r="D94" s="289"/>
      <c r="E94" s="289"/>
      <c r="F94" s="289"/>
      <c r="G94" s="289"/>
    </row>
    <row r="95" spans="1:7">
      <c r="A95" s="77"/>
      <c r="B95" s="287"/>
      <c r="C95" s="287"/>
      <c r="D95" s="289"/>
      <c r="E95" s="288"/>
      <c r="F95" s="288"/>
      <c r="G95" s="288"/>
    </row>
    <row r="96" spans="1:7">
      <c r="A96" s="77"/>
      <c r="B96" s="287"/>
      <c r="C96" s="287"/>
      <c r="D96" s="289"/>
      <c r="E96" s="289"/>
      <c r="F96" s="289"/>
      <c r="G96" s="289"/>
    </row>
    <row r="97" spans="1:7">
      <c r="A97" s="77"/>
      <c r="B97" s="287"/>
      <c r="C97" s="287"/>
      <c r="D97" s="289"/>
      <c r="E97" s="288"/>
      <c r="F97" s="288"/>
      <c r="G97" s="289"/>
    </row>
    <row r="98" spans="1:7">
      <c r="A98" s="77"/>
      <c r="B98" s="287"/>
      <c r="C98" s="287"/>
      <c r="D98" s="289"/>
      <c r="E98" s="288"/>
      <c r="F98" s="288"/>
      <c r="G98" s="288"/>
    </row>
    <row r="99" spans="1:7">
      <c r="A99" s="77"/>
      <c r="B99" s="287"/>
      <c r="C99" s="287"/>
      <c r="D99" s="289"/>
      <c r="E99" s="288"/>
      <c r="F99" s="288"/>
      <c r="G99" s="288"/>
    </row>
    <row r="100" spans="1:7">
      <c r="A100" s="77"/>
      <c r="B100" s="287"/>
      <c r="C100" s="287"/>
      <c r="D100" s="289"/>
      <c r="E100" s="288"/>
      <c r="F100" s="288"/>
      <c r="G100" s="288"/>
    </row>
    <row r="101" spans="1:7">
      <c r="A101" s="77"/>
      <c r="B101" s="287"/>
      <c r="C101" s="287"/>
      <c r="D101" s="289"/>
      <c r="E101" s="288"/>
      <c r="F101" s="288"/>
      <c r="G101" s="289"/>
    </row>
    <row r="102" spans="1:7">
      <c r="A102" s="77"/>
      <c r="B102" s="287"/>
      <c r="C102" s="287"/>
      <c r="D102" s="289"/>
      <c r="E102" s="288"/>
      <c r="F102" s="288"/>
      <c r="G102" s="289"/>
    </row>
    <row r="103" spans="1:7">
      <c r="A103" s="77"/>
      <c r="B103" s="287"/>
      <c r="C103" s="287"/>
      <c r="D103" s="288"/>
      <c r="E103" s="288"/>
      <c r="F103" s="288"/>
      <c r="G103" s="288"/>
    </row>
    <row r="104" spans="1:7">
      <c r="A104" s="77"/>
      <c r="B104" s="287"/>
      <c r="C104" s="287"/>
      <c r="D104" s="288"/>
      <c r="E104" s="288"/>
      <c r="F104" s="288"/>
      <c r="G104" s="288"/>
    </row>
    <row r="105" spans="1:7">
      <c r="A105" s="77"/>
      <c r="B105" s="287"/>
      <c r="C105" s="287"/>
      <c r="D105" s="289"/>
      <c r="E105" s="289"/>
      <c r="F105" s="288"/>
      <c r="G105" s="288"/>
    </row>
    <row r="106" spans="1:7">
      <c r="A106" s="77"/>
      <c r="B106" s="287"/>
      <c r="C106" s="287"/>
      <c r="D106" s="289"/>
      <c r="E106" s="289"/>
      <c r="F106" s="288"/>
      <c r="G106" s="288"/>
    </row>
    <row r="107" spans="1:7">
      <c r="A107" s="77"/>
      <c r="B107" s="287"/>
      <c r="C107" s="287"/>
      <c r="D107" s="289"/>
      <c r="E107" s="289"/>
      <c r="F107" s="289"/>
      <c r="G107" s="289"/>
    </row>
    <row r="108" spans="1:7">
      <c r="A108" s="77"/>
      <c r="B108" s="287"/>
      <c r="C108" s="287"/>
      <c r="D108" s="289"/>
      <c r="E108" s="289"/>
      <c r="F108" s="289"/>
      <c r="G108" s="289"/>
    </row>
    <row r="109" spans="1:7">
      <c r="A109" s="77"/>
      <c r="B109" s="287"/>
      <c r="C109" s="287"/>
      <c r="D109" s="289"/>
      <c r="E109" s="289"/>
      <c r="F109" s="289"/>
      <c r="G109" s="289"/>
    </row>
    <row r="110" spans="1:7">
      <c r="A110" s="77"/>
      <c r="B110" s="287"/>
      <c r="C110" s="287"/>
      <c r="D110" s="288"/>
      <c r="E110" s="289"/>
      <c r="F110" s="289"/>
      <c r="G110" s="288"/>
    </row>
    <row r="111" spans="1:7">
      <c r="A111" s="77"/>
      <c r="B111" s="287"/>
      <c r="C111" s="287"/>
      <c r="D111" s="288"/>
      <c r="E111" s="289"/>
      <c r="F111" s="289"/>
      <c r="G111" s="288"/>
    </row>
    <row r="112" spans="1:7">
      <c r="A112" s="77"/>
      <c r="B112" s="287"/>
      <c r="C112" s="287"/>
      <c r="D112" s="288"/>
      <c r="E112" s="289"/>
      <c r="F112" s="289"/>
      <c r="G112" s="288"/>
    </row>
    <row r="113" spans="1:7">
      <c r="A113" s="77"/>
      <c r="B113" s="287"/>
      <c r="C113" s="287"/>
      <c r="D113" s="288"/>
      <c r="E113" s="289"/>
      <c r="F113" s="289"/>
      <c r="G113" s="288"/>
    </row>
    <row r="114" spans="1:7">
      <c r="A114" s="77"/>
      <c r="B114" s="287"/>
      <c r="C114" s="287"/>
      <c r="D114" s="288"/>
      <c r="E114" s="289"/>
      <c r="F114" s="289"/>
      <c r="G114" s="288"/>
    </row>
    <row r="115" spans="1:7">
      <c r="A115" s="77"/>
      <c r="B115" s="287"/>
      <c r="C115" s="287"/>
      <c r="D115" s="288"/>
      <c r="E115" s="289"/>
      <c r="F115" s="289"/>
      <c r="G115" s="288"/>
    </row>
    <row r="116" spans="1:7">
      <c r="A116" s="77"/>
      <c r="B116" s="287"/>
      <c r="C116" s="287"/>
      <c r="D116" s="289"/>
      <c r="E116" s="289"/>
      <c r="F116" s="288"/>
      <c r="G116" s="288"/>
    </row>
    <row r="117" spans="1:7">
      <c r="A117" s="77"/>
      <c r="B117" s="287"/>
      <c r="C117" s="287"/>
      <c r="D117" s="289"/>
      <c r="E117" s="289"/>
      <c r="F117" s="288"/>
      <c r="G117" s="288"/>
    </row>
    <row r="118" spans="1:7">
      <c r="A118" s="77"/>
      <c r="B118" s="287"/>
      <c r="C118" s="287"/>
      <c r="D118" s="289"/>
      <c r="E118" s="289"/>
      <c r="F118" s="288"/>
      <c r="G118" s="288"/>
    </row>
    <row r="119" spans="1:7">
      <c r="A119" s="77"/>
      <c r="B119" s="287"/>
      <c r="C119" s="287"/>
      <c r="D119" s="289"/>
      <c r="E119" s="289"/>
      <c r="F119" s="288"/>
      <c r="G119" s="288"/>
    </row>
    <row r="120" spans="1:7">
      <c r="A120" s="77"/>
      <c r="B120" s="287"/>
      <c r="C120" s="287"/>
      <c r="D120" s="289"/>
      <c r="E120" s="289"/>
      <c r="F120" s="288"/>
      <c r="G120" s="288"/>
    </row>
    <row r="121" spans="1:7">
      <c r="A121" s="77"/>
      <c r="B121" s="287"/>
      <c r="C121" s="287"/>
      <c r="D121" s="289"/>
      <c r="E121" s="289"/>
      <c r="F121" s="288"/>
      <c r="G121" s="288"/>
    </row>
    <row r="122" spans="1:7">
      <c r="A122" s="77"/>
      <c r="B122" s="287"/>
      <c r="C122" s="287"/>
      <c r="D122" s="289"/>
      <c r="E122" s="289"/>
      <c r="F122" s="288"/>
      <c r="G122" s="288"/>
    </row>
    <row r="123" spans="1:7">
      <c r="A123" s="77"/>
      <c r="B123" s="287"/>
      <c r="C123" s="287"/>
      <c r="D123" s="289"/>
      <c r="E123" s="289"/>
      <c r="F123" s="288"/>
      <c r="G123" s="288"/>
    </row>
    <row r="124" spans="1:7">
      <c r="A124" s="77"/>
      <c r="B124" s="287"/>
      <c r="C124" s="287"/>
      <c r="D124" s="289"/>
      <c r="E124" s="289"/>
      <c r="F124" s="288"/>
      <c r="G124" s="288"/>
    </row>
    <row r="125" spans="1:7">
      <c r="A125" s="77"/>
      <c r="B125" s="287"/>
      <c r="C125" s="287"/>
      <c r="D125" s="289"/>
      <c r="E125" s="289"/>
      <c r="F125" s="288"/>
      <c r="G125" s="288"/>
    </row>
    <row r="126" spans="1:7">
      <c r="A126" s="77"/>
      <c r="B126" s="287"/>
      <c r="C126" s="287"/>
      <c r="D126" s="289"/>
      <c r="E126" s="289"/>
      <c r="F126" s="288"/>
      <c r="G126" s="288"/>
    </row>
    <row r="127" spans="1:7">
      <c r="A127" s="77"/>
      <c r="B127" s="287"/>
      <c r="C127" s="287"/>
      <c r="D127" s="289"/>
      <c r="E127" s="289"/>
      <c r="F127" s="288"/>
      <c r="G127" s="288"/>
    </row>
    <row r="128" spans="1:7">
      <c r="A128" s="77"/>
      <c r="B128" s="287"/>
      <c r="C128" s="287"/>
      <c r="D128" s="289"/>
      <c r="E128" s="289"/>
      <c r="F128" s="288"/>
      <c r="G128" s="288"/>
    </row>
    <row r="129" spans="1:18">
      <c r="A129" s="77"/>
      <c r="B129" s="287"/>
      <c r="C129" s="287"/>
      <c r="D129" s="289"/>
      <c r="E129" s="289"/>
      <c r="F129" s="288"/>
      <c r="G129" s="288"/>
    </row>
    <row r="130" spans="1:18">
      <c r="A130" s="77"/>
      <c r="B130" s="287"/>
      <c r="C130" s="287"/>
      <c r="D130" s="289"/>
      <c r="E130" s="289"/>
      <c r="F130" s="288"/>
      <c r="G130" s="288"/>
    </row>
    <row r="131" spans="1:18">
      <c r="A131" s="77"/>
      <c r="B131" s="287"/>
      <c r="C131" s="287"/>
      <c r="D131" s="289"/>
      <c r="E131" s="289"/>
      <c r="F131" s="288"/>
      <c r="G131" s="288"/>
      <c r="O131" s="401"/>
      <c r="P131" s="401"/>
      <c r="Q131" s="401"/>
      <c r="R131" s="274"/>
    </row>
    <row r="132" spans="1:18">
      <c r="A132" s="77"/>
      <c r="B132" s="287"/>
      <c r="C132" s="287"/>
      <c r="D132" s="289"/>
      <c r="E132" s="289"/>
      <c r="F132" s="288"/>
      <c r="G132" s="288"/>
    </row>
    <row r="133" spans="1:18">
      <c r="A133" s="77"/>
      <c r="B133" s="287"/>
      <c r="C133" s="287"/>
      <c r="D133" s="289"/>
      <c r="E133" s="289"/>
      <c r="F133" s="288"/>
      <c r="G133" s="288"/>
    </row>
    <row r="134" spans="1:18">
      <c r="A134" s="77"/>
      <c r="B134" s="287"/>
      <c r="C134" s="287"/>
      <c r="D134" s="289"/>
      <c r="E134" s="289"/>
      <c r="F134" s="288"/>
      <c r="G134" s="288"/>
    </row>
    <row r="135" spans="1:18">
      <c r="A135" s="77"/>
      <c r="B135" s="287"/>
      <c r="C135" s="287"/>
      <c r="D135" s="289"/>
      <c r="E135" s="289"/>
      <c r="F135" s="289"/>
      <c r="G135" s="289"/>
    </row>
    <row r="136" spans="1:18">
      <c r="A136" s="77"/>
      <c r="B136" s="287"/>
      <c r="C136" s="287"/>
      <c r="D136" s="289"/>
      <c r="E136" s="289"/>
      <c r="F136" s="289"/>
      <c r="G136" s="289"/>
    </row>
    <row r="137" spans="1:18">
      <c r="A137" s="77"/>
      <c r="B137" s="287"/>
      <c r="C137" s="287"/>
      <c r="D137" s="289"/>
      <c r="E137" s="288"/>
      <c r="F137" s="289"/>
      <c r="G137" s="288"/>
    </row>
    <row r="138" spans="1:18">
      <c r="B138" s="287"/>
      <c r="C138" s="287"/>
      <c r="D138" s="289"/>
      <c r="E138" s="288"/>
      <c r="F138" s="289"/>
      <c r="G138" s="288"/>
    </row>
    <row r="139" spans="1:18">
      <c r="B139" s="287"/>
      <c r="C139" s="287"/>
      <c r="D139" s="289"/>
      <c r="E139" s="288"/>
      <c r="F139" s="289"/>
      <c r="G139" s="288"/>
    </row>
    <row r="140" spans="1:18">
      <c r="B140" s="287"/>
      <c r="C140" s="287"/>
      <c r="D140" s="289"/>
      <c r="E140" s="288"/>
      <c r="F140" s="289"/>
      <c r="G140" s="288"/>
    </row>
    <row r="141" spans="1:18">
      <c r="B141" s="287"/>
      <c r="C141" s="287"/>
      <c r="D141" s="289"/>
      <c r="E141" s="288"/>
      <c r="F141" s="289"/>
      <c r="G141" s="288"/>
    </row>
    <row r="142" spans="1:18">
      <c r="B142" s="287"/>
      <c r="C142" s="287"/>
      <c r="D142" s="289"/>
      <c r="E142" s="288"/>
      <c r="F142" s="289"/>
      <c r="G142" s="288"/>
    </row>
    <row r="143" spans="1:18">
      <c r="B143" s="287"/>
      <c r="C143" s="287"/>
      <c r="D143" s="289"/>
      <c r="E143" s="288"/>
      <c r="F143" s="289"/>
      <c r="G143" s="288"/>
    </row>
    <row r="144" spans="1:18">
      <c r="B144" s="287"/>
      <c r="C144" s="287"/>
      <c r="D144" s="289"/>
      <c r="E144" s="288"/>
      <c r="F144" s="289"/>
      <c r="G144" s="288"/>
    </row>
    <row r="145" spans="2:7">
      <c r="B145" s="287"/>
      <c r="C145" s="287"/>
      <c r="D145" s="289"/>
      <c r="E145" s="288"/>
      <c r="F145" s="289"/>
      <c r="G145" s="288"/>
    </row>
    <row r="146" spans="2:7">
      <c r="B146" s="287"/>
      <c r="C146" s="287"/>
      <c r="D146" s="289"/>
      <c r="E146" s="288"/>
      <c r="F146" s="289"/>
      <c r="G146" s="288"/>
    </row>
    <row r="147" spans="2:7">
      <c r="B147" s="287"/>
      <c r="C147" s="287"/>
      <c r="D147" s="289"/>
      <c r="E147" s="288"/>
      <c r="F147" s="289"/>
      <c r="G147" s="288"/>
    </row>
    <row r="148" spans="2:7">
      <c r="B148" s="287"/>
      <c r="C148" s="287"/>
      <c r="D148" s="289"/>
      <c r="E148" s="288"/>
      <c r="F148" s="289"/>
      <c r="G148" s="288"/>
    </row>
    <row r="149" spans="2:7">
      <c r="B149" s="287"/>
      <c r="C149" s="287"/>
      <c r="D149" s="289"/>
      <c r="E149" s="288"/>
      <c r="F149" s="289"/>
      <c r="G149" s="288"/>
    </row>
    <row r="150" spans="2:7">
      <c r="B150" s="287"/>
      <c r="C150" s="287"/>
      <c r="D150" s="289"/>
      <c r="E150" s="288"/>
      <c r="F150" s="289"/>
      <c r="G150" s="288"/>
    </row>
    <row r="151" spans="2:7">
      <c r="B151" s="287"/>
      <c r="C151" s="287"/>
      <c r="D151" s="289"/>
      <c r="E151" s="288"/>
      <c r="F151" s="289"/>
      <c r="G151" s="288"/>
    </row>
    <row r="152" spans="2:7">
      <c r="B152" s="287"/>
      <c r="C152" s="287"/>
      <c r="D152" s="289"/>
      <c r="E152" s="288"/>
      <c r="F152" s="289"/>
      <c r="G152" s="288"/>
    </row>
    <row r="153" spans="2:7">
      <c r="B153" s="287"/>
      <c r="C153" s="287"/>
      <c r="D153" s="289"/>
      <c r="E153" s="288"/>
      <c r="F153" s="289"/>
      <c r="G153" s="288"/>
    </row>
    <row r="154" spans="2:7">
      <c r="B154" s="287"/>
      <c r="C154" s="287"/>
      <c r="D154" s="289"/>
      <c r="E154" s="288"/>
      <c r="F154" s="289"/>
      <c r="G154" s="288"/>
    </row>
    <row r="155" spans="2:7">
      <c r="B155" s="287"/>
      <c r="C155" s="287"/>
      <c r="D155" s="289"/>
      <c r="E155" s="288"/>
      <c r="F155" s="289"/>
      <c r="G155" s="288"/>
    </row>
    <row r="156" spans="2:7">
      <c r="B156" s="287"/>
      <c r="C156" s="287"/>
      <c r="D156" s="289"/>
      <c r="E156" s="288"/>
      <c r="F156" s="289"/>
      <c r="G156" s="288"/>
    </row>
    <row r="157" spans="2:7">
      <c r="B157" s="287"/>
      <c r="C157" s="287"/>
      <c r="D157" s="289"/>
      <c r="E157" s="288"/>
      <c r="F157" s="289"/>
      <c r="G157" s="288"/>
    </row>
    <row r="158" spans="2:7">
      <c r="B158" s="287"/>
      <c r="C158" s="287"/>
      <c r="D158" s="289"/>
      <c r="E158" s="288"/>
      <c r="F158" s="289"/>
      <c r="G158" s="288"/>
    </row>
    <row r="159" spans="2:7">
      <c r="B159" s="287"/>
      <c r="C159" s="287"/>
      <c r="D159" s="289"/>
      <c r="E159" s="288"/>
      <c r="F159" s="289"/>
      <c r="G159" s="288"/>
    </row>
    <row r="160" spans="2:7">
      <c r="B160" s="287"/>
      <c r="C160" s="287"/>
      <c r="D160" s="289"/>
      <c r="E160" s="288"/>
      <c r="F160" s="289"/>
      <c r="G160" s="288"/>
    </row>
    <row r="161" spans="2:7">
      <c r="B161" s="287"/>
      <c r="C161" s="287"/>
      <c r="D161" s="289"/>
      <c r="E161" s="288"/>
      <c r="F161" s="289"/>
      <c r="G161" s="288"/>
    </row>
    <row r="162" spans="2:7">
      <c r="B162" s="287"/>
      <c r="C162" s="287"/>
      <c r="D162" s="289"/>
      <c r="E162" s="288"/>
      <c r="F162" s="289"/>
      <c r="G162" s="288"/>
    </row>
    <row r="163" spans="2:7">
      <c r="B163" s="287"/>
      <c r="C163" s="287"/>
      <c r="D163" s="289"/>
      <c r="E163" s="288"/>
      <c r="F163" s="289"/>
      <c r="G163" s="288"/>
    </row>
    <row r="164" spans="2:7">
      <c r="B164" s="287"/>
      <c r="C164" s="287"/>
      <c r="D164" s="289"/>
      <c r="E164" s="288"/>
      <c r="F164" s="289"/>
      <c r="G164" s="288"/>
    </row>
    <row r="165" spans="2:7">
      <c r="B165" s="287"/>
      <c r="C165" s="287"/>
      <c r="D165" s="289"/>
      <c r="E165" s="288"/>
      <c r="F165" s="289"/>
      <c r="G165" s="288"/>
    </row>
    <row r="166" spans="2:7">
      <c r="B166" s="287"/>
      <c r="C166" s="287"/>
      <c r="D166" s="289"/>
      <c r="E166" s="288"/>
      <c r="F166" s="289"/>
      <c r="G166" s="288"/>
    </row>
    <row r="167" spans="2:7">
      <c r="B167" s="287"/>
      <c r="C167" s="287"/>
      <c r="D167" s="289"/>
      <c r="E167" s="288"/>
      <c r="F167" s="289"/>
      <c r="G167" s="288"/>
    </row>
    <row r="168" spans="2:7">
      <c r="B168" s="287"/>
      <c r="C168" s="287"/>
      <c r="D168" s="289"/>
      <c r="E168" s="288"/>
      <c r="F168" s="289"/>
      <c r="G168" s="288"/>
    </row>
    <row r="169" spans="2:7">
      <c r="B169" s="287"/>
      <c r="C169" s="287"/>
      <c r="D169" s="289"/>
      <c r="E169" s="288"/>
      <c r="F169" s="289"/>
      <c r="G169" s="288"/>
    </row>
    <row r="170" spans="2:7">
      <c r="B170" s="287"/>
      <c r="C170" s="287"/>
      <c r="D170" s="289"/>
      <c r="E170" s="288"/>
      <c r="F170" s="289"/>
      <c r="G170" s="288"/>
    </row>
    <row r="171" spans="2:7">
      <c r="B171" s="287"/>
      <c r="C171" s="287"/>
      <c r="D171" s="289"/>
      <c r="E171" s="288"/>
      <c r="F171" s="289"/>
      <c r="G171" s="288"/>
    </row>
    <row r="172" spans="2:7">
      <c r="B172" s="287"/>
      <c r="C172" s="287"/>
      <c r="D172" s="289"/>
      <c r="E172" s="288"/>
      <c r="F172" s="289"/>
      <c r="G172" s="288"/>
    </row>
    <row r="173" spans="2:7">
      <c r="B173" s="287"/>
      <c r="C173" s="287"/>
      <c r="D173" s="289"/>
      <c r="E173" s="288"/>
      <c r="F173" s="289"/>
      <c r="G173" s="288"/>
    </row>
    <row r="174" spans="2:7">
      <c r="B174" s="287"/>
      <c r="C174" s="287"/>
      <c r="D174" s="289"/>
      <c r="E174" s="288"/>
      <c r="F174" s="289"/>
      <c r="G174" s="288"/>
    </row>
    <row r="175" spans="2:7">
      <c r="B175" s="287"/>
      <c r="C175" s="287"/>
      <c r="D175" s="289"/>
      <c r="E175" s="288"/>
      <c r="F175" s="289"/>
      <c r="G175" s="288"/>
    </row>
    <row r="176" spans="2:7">
      <c r="B176" s="287"/>
      <c r="C176" s="287"/>
      <c r="D176" s="289"/>
      <c r="E176" s="288"/>
      <c r="F176" s="289"/>
      <c r="G176" s="288"/>
    </row>
    <row r="177" spans="2:7">
      <c r="B177" s="287"/>
      <c r="C177" s="287"/>
      <c r="D177" s="289"/>
      <c r="E177" s="289"/>
      <c r="F177" s="289"/>
      <c r="G177" s="289"/>
    </row>
    <row r="178" spans="2:7">
      <c r="B178" s="287"/>
      <c r="C178" s="287"/>
      <c r="D178" s="289"/>
      <c r="E178" s="288"/>
      <c r="F178" s="289"/>
      <c r="G178" s="288"/>
    </row>
    <row r="179" spans="2:7">
      <c r="B179" s="287"/>
      <c r="C179" s="287"/>
      <c r="D179" s="289"/>
      <c r="E179" s="288"/>
      <c r="F179" s="289"/>
      <c r="G179" s="288"/>
    </row>
    <row r="180" spans="2:7">
      <c r="B180" s="287"/>
      <c r="C180" s="287"/>
      <c r="D180" s="289"/>
      <c r="E180" s="288"/>
      <c r="F180" s="289"/>
      <c r="G180" s="288"/>
    </row>
    <row r="181" spans="2:7">
      <c r="B181" s="287"/>
      <c r="C181" s="287"/>
      <c r="D181" s="289"/>
      <c r="E181" s="288"/>
      <c r="F181" s="289"/>
      <c r="G181" s="288"/>
    </row>
    <row r="182" spans="2:7">
      <c r="B182" s="287"/>
      <c r="C182" s="287"/>
      <c r="D182" s="289"/>
      <c r="E182" s="288"/>
      <c r="F182" s="289"/>
      <c r="G182" s="288"/>
    </row>
    <row r="183" spans="2:7">
      <c r="B183" s="287"/>
      <c r="C183" s="287"/>
      <c r="D183" s="289"/>
      <c r="E183" s="288"/>
      <c r="F183" s="289"/>
      <c r="G183" s="288"/>
    </row>
    <row r="184" spans="2:7">
      <c r="B184" s="287"/>
      <c r="C184" s="287"/>
      <c r="D184" s="289"/>
      <c r="E184" s="288"/>
      <c r="F184" s="289"/>
      <c r="G184" s="288"/>
    </row>
    <row r="185" spans="2:7">
      <c r="B185" s="287"/>
      <c r="C185" s="287"/>
      <c r="D185" s="289"/>
      <c r="E185" s="288"/>
      <c r="F185" s="289"/>
      <c r="G185" s="288"/>
    </row>
    <row r="186" spans="2:7">
      <c r="B186" s="287"/>
      <c r="C186" s="287"/>
      <c r="D186" s="289"/>
      <c r="E186" s="288"/>
      <c r="F186" s="289"/>
      <c r="G186" s="288"/>
    </row>
    <row r="187" spans="2:7">
      <c r="B187" s="287"/>
      <c r="C187" s="287"/>
      <c r="D187" s="289"/>
      <c r="E187" s="288"/>
      <c r="F187" s="289"/>
      <c r="G187" s="288"/>
    </row>
    <row r="188" spans="2:7">
      <c r="B188" s="287"/>
      <c r="C188" s="287"/>
      <c r="D188" s="289"/>
      <c r="E188" s="288"/>
      <c r="F188" s="289"/>
      <c r="G188" s="288"/>
    </row>
    <row r="189" spans="2:7">
      <c r="B189" s="287"/>
      <c r="C189" s="287"/>
      <c r="D189" s="289"/>
      <c r="E189" s="288"/>
      <c r="F189" s="289"/>
      <c r="G189" s="288"/>
    </row>
    <row r="190" spans="2:7">
      <c r="B190" s="287"/>
      <c r="C190" s="287"/>
      <c r="D190" s="289"/>
      <c r="E190" s="288"/>
      <c r="F190" s="289"/>
      <c r="G190" s="288"/>
    </row>
    <row r="191" spans="2:7">
      <c r="B191" s="287"/>
      <c r="C191" s="287"/>
      <c r="D191" s="289"/>
      <c r="E191" s="288"/>
      <c r="F191" s="289"/>
      <c r="G191" s="288"/>
    </row>
    <row r="192" spans="2:7">
      <c r="B192" s="287"/>
      <c r="C192" s="287"/>
      <c r="D192" s="289"/>
      <c r="E192" s="288"/>
      <c r="F192" s="289"/>
      <c r="G192" s="288"/>
    </row>
    <row r="193" spans="2:7">
      <c r="B193" s="287"/>
      <c r="C193" s="287"/>
      <c r="D193" s="289"/>
      <c r="E193" s="288"/>
      <c r="F193" s="289"/>
      <c r="G193" s="288"/>
    </row>
    <row r="194" spans="2:7">
      <c r="B194" s="287"/>
      <c r="C194" s="287"/>
      <c r="D194" s="289"/>
      <c r="E194" s="288"/>
      <c r="F194" s="289"/>
      <c r="G194" s="288"/>
    </row>
    <row r="195" spans="2:7">
      <c r="B195" s="287"/>
      <c r="C195" s="287"/>
      <c r="D195" s="289"/>
      <c r="E195" s="288"/>
      <c r="F195" s="289"/>
      <c r="G195" s="288"/>
    </row>
    <row r="196" spans="2:7">
      <c r="B196" s="287"/>
      <c r="C196" s="287"/>
      <c r="D196" s="289"/>
      <c r="E196" s="288"/>
      <c r="F196" s="289"/>
      <c r="G196" s="288"/>
    </row>
    <row r="197" spans="2:7">
      <c r="B197" s="287"/>
      <c r="C197" s="287"/>
      <c r="D197" s="289"/>
      <c r="E197" s="288"/>
      <c r="F197" s="289"/>
      <c r="G197" s="288"/>
    </row>
    <row r="198" spans="2:7">
      <c r="B198" s="287"/>
      <c r="C198" s="287"/>
      <c r="D198" s="289"/>
      <c r="E198" s="288"/>
      <c r="F198" s="289"/>
      <c r="G198" s="288"/>
    </row>
    <row r="199" spans="2:7">
      <c r="B199" s="287"/>
      <c r="C199" s="287"/>
      <c r="D199" s="289"/>
      <c r="E199" s="288"/>
      <c r="F199" s="289"/>
      <c r="G199" s="288"/>
    </row>
    <row r="200" spans="2:7">
      <c r="B200" s="287"/>
      <c r="C200" s="287"/>
      <c r="D200" s="289"/>
      <c r="E200" s="288"/>
      <c r="F200" s="289"/>
      <c r="G200" s="288"/>
    </row>
    <row r="201" spans="2:7">
      <c r="B201" s="287"/>
      <c r="C201" s="287"/>
      <c r="D201" s="289"/>
      <c r="E201" s="288"/>
      <c r="F201" s="289"/>
      <c r="G201" s="288"/>
    </row>
    <row r="202" spans="2:7">
      <c r="B202" s="287"/>
      <c r="C202" s="287"/>
      <c r="D202" s="289"/>
      <c r="E202" s="288"/>
      <c r="F202" s="289"/>
      <c r="G202" s="288"/>
    </row>
    <row r="203" spans="2:7">
      <c r="B203" s="287"/>
      <c r="C203" s="287"/>
      <c r="D203" s="289"/>
      <c r="E203" s="288"/>
      <c r="F203" s="289"/>
      <c r="G203" s="288"/>
    </row>
    <row r="204" spans="2:7">
      <c r="B204" s="287"/>
      <c r="C204" s="287"/>
      <c r="D204" s="289"/>
      <c r="E204" s="288"/>
      <c r="F204" s="289"/>
      <c r="G204" s="288"/>
    </row>
    <row r="205" spans="2:7">
      <c r="B205" s="287"/>
      <c r="C205" s="287"/>
      <c r="D205" s="289"/>
      <c r="E205" s="288"/>
      <c r="F205" s="289"/>
      <c r="G205" s="288"/>
    </row>
    <row r="206" spans="2:7">
      <c r="B206" s="287"/>
      <c r="C206" s="287"/>
      <c r="D206" s="289"/>
      <c r="E206" s="288"/>
      <c r="F206" s="289"/>
      <c r="G206" s="288"/>
    </row>
    <row r="207" spans="2:7">
      <c r="B207" s="287"/>
      <c r="C207" s="287"/>
      <c r="D207" s="289"/>
      <c r="E207" s="288"/>
      <c r="F207" s="289"/>
      <c r="G207" s="288"/>
    </row>
    <row r="208" spans="2:7">
      <c r="B208" s="287"/>
      <c r="C208" s="287"/>
      <c r="D208" s="289"/>
      <c r="E208" s="288"/>
      <c r="F208" s="289"/>
      <c r="G208" s="288"/>
    </row>
    <row r="209" spans="2:7">
      <c r="B209" s="287"/>
      <c r="C209" s="287"/>
      <c r="D209" s="289"/>
      <c r="E209" s="288"/>
      <c r="F209" s="289"/>
      <c r="G209" s="288"/>
    </row>
    <row r="210" spans="2:7">
      <c r="B210" s="287"/>
      <c r="C210" s="287"/>
      <c r="D210" s="289"/>
      <c r="E210" s="288"/>
      <c r="F210" s="289"/>
      <c r="G210" s="288"/>
    </row>
    <row r="211" spans="2:7">
      <c r="B211" s="287"/>
      <c r="C211" s="287"/>
      <c r="D211" s="289"/>
      <c r="E211" s="289"/>
      <c r="F211" s="289"/>
      <c r="G211" s="289"/>
    </row>
    <row r="212" spans="2:7">
      <c r="B212" s="287"/>
      <c r="C212" s="287"/>
      <c r="D212" s="289"/>
      <c r="E212" s="288"/>
      <c r="F212" s="289"/>
      <c r="G212" s="288"/>
    </row>
    <row r="213" spans="2:7">
      <c r="B213" s="287"/>
      <c r="C213" s="287"/>
      <c r="D213" s="289"/>
      <c r="E213" s="288"/>
      <c r="F213" s="289"/>
      <c r="G213" s="288"/>
    </row>
    <row r="214" spans="2:7">
      <c r="B214" s="287"/>
      <c r="C214" s="287"/>
      <c r="D214" s="289"/>
      <c r="E214" s="288"/>
      <c r="F214" s="289"/>
      <c r="G214" s="288"/>
    </row>
    <row r="215" spans="2:7">
      <c r="B215" s="287"/>
      <c r="C215" s="287"/>
      <c r="D215" s="289"/>
      <c r="E215" s="288"/>
      <c r="F215" s="289"/>
      <c r="G215" s="288"/>
    </row>
    <row r="216" spans="2:7">
      <c r="B216" s="287"/>
      <c r="C216" s="287"/>
      <c r="D216" s="289"/>
      <c r="E216" s="288"/>
      <c r="F216" s="289"/>
      <c r="G216" s="288"/>
    </row>
    <row r="217" spans="2:7">
      <c r="B217" s="287"/>
      <c r="C217" s="287"/>
      <c r="D217" s="289"/>
      <c r="E217" s="288"/>
      <c r="F217" s="289"/>
      <c r="G217" s="288"/>
    </row>
    <row r="218" spans="2:7">
      <c r="B218" s="287"/>
      <c r="C218" s="287"/>
      <c r="D218" s="289"/>
      <c r="E218" s="288"/>
      <c r="F218" s="289"/>
      <c r="G218" s="288"/>
    </row>
    <row r="219" spans="2:7">
      <c r="B219" s="287"/>
      <c r="C219" s="287"/>
      <c r="D219" s="289"/>
      <c r="E219" s="288"/>
      <c r="F219" s="289"/>
      <c r="G219" s="288"/>
    </row>
    <row r="220" spans="2:7">
      <c r="B220" s="287"/>
      <c r="C220" s="287"/>
      <c r="D220" s="289"/>
      <c r="E220" s="288"/>
      <c r="F220" s="289"/>
      <c r="G220" s="288"/>
    </row>
    <row r="221" spans="2:7">
      <c r="B221" s="287"/>
      <c r="C221" s="287"/>
      <c r="D221" s="289"/>
      <c r="E221" s="288"/>
      <c r="F221" s="289"/>
      <c r="G221" s="288"/>
    </row>
    <row r="222" spans="2:7">
      <c r="B222" s="287"/>
      <c r="C222" s="287"/>
      <c r="D222" s="289"/>
      <c r="E222" s="288"/>
      <c r="F222" s="289"/>
      <c r="G222" s="288"/>
    </row>
    <row r="223" spans="2:7">
      <c r="B223" s="287"/>
      <c r="C223" s="287"/>
      <c r="D223" s="289"/>
      <c r="E223" s="288"/>
      <c r="F223" s="289"/>
      <c r="G223" s="288"/>
    </row>
    <row r="224" spans="2:7">
      <c r="B224" s="287"/>
      <c r="C224" s="287"/>
      <c r="D224" s="289"/>
      <c r="E224" s="288"/>
      <c r="F224" s="289"/>
      <c r="G224" s="288"/>
    </row>
    <row r="225" spans="2:7">
      <c r="B225" s="287"/>
      <c r="C225" s="287"/>
      <c r="D225" s="289"/>
      <c r="E225" s="288"/>
      <c r="F225" s="289"/>
      <c r="G225" s="288"/>
    </row>
    <row r="226" spans="2:7">
      <c r="B226" s="287"/>
      <c r="C226" s="287"/>
      <c r="D226" s="289"/>
      <c r="E226" s="288"/>
      <c r="F226" s="289"/>
      <c r="G226" s="288"/>
    </row>
    <row r="227" spans="2:7">
      <c r="B227" s="287"/>
      <c r="C227" s="287"/>
      <c r="D227" s="289"/>
      <c r="E227" s="288"/>
      <c r="F227" s="289"/>
      <c r="G227" s="288"/>
    </row>
    <row r="228" spans="2:7">
      <c r="B228" s="287"/>
      <c r="C228" s="287"/>
      <c r="D228" s="289"/>
      <c r="E228" s="288"/>
      <c r="F228" s="289"/>
      <c r="G228" s="288"/>
    </row>
    <row r="229" spans="2:7">
      <c r="B229" s="287"/>
      <c r="C229" s="287"/>
      <c r="D229" s="289"/>
      <c r="E229" s="289"/>
      <c r="F229" s="289"/>
      <c r="G229" s="289"/>
    </row>
    <row r="230" spans="2:7">
      <c r="B230" s="287"/>
      <c r="C230" s="287"/>
      <c r="D230" s="289"/>
      <c r="E230" s="288"/>
      <c r="F230" s="289"/>
      <c r="G230" s="288"/>
    </row>
    <row r="231" spans="2:7">
      <c r="B231" s="287"/>
      <c r="C231" s="287"/>
      <c r="D231" s="289"/>
      <c r="E231" s="288"/>
      <c r="F231" s="289"/>
      <c r="G231" s="288"/>
    </row>
    <row r="232" spans="2:7">
      <c r="B232" s="287"/>
      <c r="C232" s="287"/>
      <c r="D232" s="289"/>
      <c r="E232" s="288"/>
      <c r="F232" s="289"/>
      <c r="G232" s="288"/>
    </row>
    <row r="233" spans="2:7">
      <c r="B233" s="287"/>
      <c r="C233" s="287"/>
      <c r="D233" s="289"/>
      <c r="E233" s="288"/>
      <c r="F233" s="289"/>
      <c r="G233" s="288"/>
    </row>
    <row r="234" spans="2:7">
      <c r="B234" s="287"/>
      <c r="C234" s="287"/>
      <c r="D234" s="289"/>
      <c r="E234" s="288"/>
      <c r="F234" s="289"/>
      <c r="G234" s="288"/>
    </row>
    <row r="235" spans="2:7">
      <c r="B235" s="287"/>
      <c r="C235" s="287"/>
      <c r="D235" s="289"/>
      <c r="E235" s="289"/>
      <c r="F235" s="289"/>
      <c r="G235" s="289"/>
    </row>
    <row r="236" spans="2:7">
      <c r="B236" s="287"/>
      <c r="C236" s="287"/>
      <c r="D236" s="289"/>
      <c r="E236" s="288"/>
      <c r="F236" s="289"/>
      <c r="G236" s="288"/>
    </row>
    <row r="237" spans="2:7">
      <c r="B237" s="287"/>
      <c r="C237" s="287"/>
      <c r="D237" s="289"/>
      <c r="E237" s="288"/>
      <c r="F237" s="289"/>
      <c r="G237" s="288"/>
    </row>
    <row r="238" spans="2:7">
      <c r="B238" s="287"/>
      <c r="C238" s="287"/>
      <c r="D238" s="289"/>
      <c r="E238" s="288"/>
      <c r="F238" s="289"/>
      <c r="G238" s="288"/>
    </row>
    <row r="239" spans="2:7">
      <c r="B239" s="287"/>
      <c r="C239" s="287"/>
      <c r="D239" s="289"/>
      <c r="E239" s="288"/>
      <c r="F239" s="289"/>
      <c r="G239" s="288"/>
    </row>
    <row r="240" spans="2:7">
      <c r="B240" s="287"/>
      <c r="C240" s="287"/>
      <c r="D240" s="289"/>
      <c r="E240" s="288"/>
      <c r="F240" s="289"/>
      <c r="G240" s="288"/>
    </row>
    <row r="241" spans="2:15">
      <c r="B241" s="287"/>
      <c r="C241" s="287"/>
      <c r="D241" s="289"/>
      <c r="E241" s="288"/>
      <c r="F241" s="289"/>
      <c r="G241" s="288"/>
    </row>
    <row r="242" spans="2:15">
      <c r="B242" s="287"/>
      <c r="C242" s="287"/>
      <c r="D242" s="289"/>
      <c r="E242" s="289"/>
      <c r="F242" s="289"/>
      <c r="G242" s="289"/>
    </row>
    <row r="243" spans="2:15">
      <c r="B243" s="287"/>
      <c r="C243" s="287"/>
      <c r="D243" s="289"/>
      <c r="E243" s="288"/>
      <c r="F243" s="289"/>
      <c r="G243" s="288"/>
    </row>
    <row r="244" spans="2:15">
      <c r="B244" s="287"/>
      <c r="C244" s="287"/>
      <c r="D244" s="289"/>
      <c r="E244" s="289"/>
      <c r="F244" s="289"/>
      <c r="G244" s="289"/>
    </row>
    <row r="245" spans="2:15">
      <c r="B245" s="287"/>
      <c r="C245" s="287"/>
      <c r="D245" s="289"/>
      <c r="E245" s="288"/>
      <c r="F245" s="289"/>
      <c r="G245" s="288"/>
    </row>
    <row r="246" spans="2:15">
      <c r="B246" s="287"/>
      <c r="C246" s="287"/>
      <c r="D246" s="289"/>
      <c r="E246" s="288"/>
      <c r="F246" s="289"/>
      <c r="G246" s="288"/>
    </row>
    <row r="247" spans="2:15">
      <c r="B247" s="287"/>
      <c r="C247" s="287"/>
      <c r="D247" s="289"/>
      <c r="E247" s="288"/>
      <c r="F247" s="289"/>
      <c r="G247" s="288"/>
    </row>
    <row r="248" spans="2:15">
      <c r="B248" s="287"/>
      <c r="C248" s="287"/>
      <c r="D248" s="289"/>
      <c r="E248" s="288"/>
      <c r="F248" s="289"/>
      <c r="G248" s="288"/>
    </row>
    <row r="249" spans="2:15">
      <c r="B249" s="287"/>
      <c r="C249" s="287"/>
      <c r="D249" s="289"/>
      <c r="E249" s="288"/>
      <c r="F249" s="289"/>
      <c r="G249" s="288"/>
    </row>
    <row r="250" spans="2:15">
      <c r="B250" s="287"/>
      <c r="C250" s="287"/>
      <c r="D250" s="289"/>
      <c r="E250" s="288"/>
      <c r="F250" s="289"/>
      <c r="G250" s="288"/>
    </row>
    <row r="251" spans="2:15">
      <c r="B251" s="287"/>
      <c r="C251" s="287"/>
      <c r="D251" s="289"/>
      <c r="E251" s="288"/>
      <c r="F251" s="289"/>
      <c r="G251" s="288"/>
    </row>
    <row r="252" spans="2:15">
      <c r="B252" s="287"/>
      <c r="C252" s="287"/>
      <c r="D252" s="289"/>
      <c r="E252" s="288"/>
      <c r="F252" s="289"/>
      <c r="G252" s="288"/>
      <c r="O252" s="285"/>
    </row>
    <row r="253" spans="2:15">
      <c r="B253" s="287"/>
      <c r="C253" s="287"/>
      <c r="D253" s="289"/>
      <c r="E253" s="289"/>
      <c r="F253" s="289"/>
      <c r="G253" s="289"/>
      <c r="O253" s="285"/>
    </row>
    <row r="254" spans="2:15">
      <c r="B254" s="287"/>
      <c r="C254" s="287"/>
      <c r="D254" s="289"/>
      <c r="E254" s="288"/>
      <c r="F254" s="289"/>
      <c r="G254" s="288"/>
      <c r="O254" s="79"/>
    </row>
    <row r="255" spans="2:15">
      <c r="B255" s="287"/>
      <c r="C255" s="287"/>
      <c r="D255" s="289"/>
      <c r="E255" s="288"/>
      <c r="F255" s="289"/>
      <c r="G255" s="288"/>
    </row>
    <row r="256" spans="2:15">
      <c r="B256" s="287"/>
      <c r="C256" s="287"/>
      <c r="D256" s="289"/>
      <c r="E256" s="288"/>
      <c r="F256" s="289"/>
      <c r="G256" s="288"/>
    </row>
    <row r="257" spans="2:7">
      <c r="B257" s="287"/>
      <c r="C257" s="287"/>
      <c r="D257" s="289"/>
      <c r="E257" s="289"/>
      <c r="F257" s="289"/>
      <c r="G257" s="289"/>
    </row>
    <row r="258" spans="2:7">
      <c r="B258" s="287"/>
      <c r="C258" s="287"/>
      <c r="D258" s="289"/>
      <c r="E258" s="288"/>
      <c r="F258" s="289"/>
      <c r="G258" s="288"/>
    </row>
    <row r="259" spans="2:7">
      <c r="B259" s="287"/>
      <c r="C259" s="287"/>
      <c r="D259" s="289"/>
      <c r="E259" s="288"/>
      <c r="F259" s="289"/>
      <c r="G259" s="288"/>
    </row>
    <row r="260" spans="2:7">
      <c r="B260" s="287"/>
      <c r="C260" s="287"/>
      <c r="D260" s="289"/>
      <c r="E260" s="288"/>
      <c r="F260" s="289"/>
      <c r="G260" s="288"/>
    </row>
    <row r="261" spans="2:7">
      <c r="B261" s="287"/>
      <c r="C261" s="287"/>
      <c r="D261" s="289"/>
      <c r="E261" s="288"/>
      <c r="F261" s="289"/>
      <c r="G261" s="288"/>
    </row>
    <row r="262" spans="2:7">
      <c r="B262" s="287"/>
      <c r="C262" s="287"/>
      <c r="D262" s="289"/>
      <c r="E262" s="288"/>
      <c r="F262" s="289"/>
      <c r="G262" s="288"/>
    </row>
    <row r="263" spans="2:7">
      <c r="B263" s="287"/>
      <c r="C263" s="287"/>
      <c r="D263" s="289"/>
      <c r="E263" s="288"/>
      <c r="F263" s="289"/>
      <c r="G263" s="288"/>
    </row>
    <row r="264" spans="2:7">
      <c r="B264" s="287"/>
      <c r="C264" s="287"/>
      <c r="D264" s="289"/>
      <c r="E264" s="288"/>
      <c r="F264" s="289"/>
      <c r="G264" s="288"/>
    </row>
    <row r="265" spans="2:7">
      <c r="B265" s="287"/>
      <c r="C265" s="287"/>
      <c r="D265" s="289"/>
      <c r="E265" s="288"/>
      <c r="F265" s="289"/>
      <c r="G265" s="288"/>
    </row>
    <row r="266" spans="2:7">
      <c r="B266" s="287"/>
      <c r="C266" s="287"/>
      <c r="D266" s="289"/>
      <c r="E266" s="288"/>
      <c r="F266" s="289"/>
      <c r="G266" s="288"/>
    </row>
    <row r="267" spans="2:7">
      <c r="B267" s="287"/>
      <c r="C267" s="287"/>
      <c r="D267" s="289"/>
      <c r="E267" s="288"/>
      <c r="F267" s="289"/>
      <c r="G267" s="288"/>
    </row>
    <row r="268" spans="2:7">
      <c r="B268" s="287"/>
      <c r="C268" s="287"/>
      <c r="D268" s="289"/>
      <c r="E268" s="288"/>
      <c r="F268" s="289"/>
      <c r="G268" s="288"/>
    </row>
    <row r="269" spans="2:7">
      <c r="B269" s="287"/>
      <c r="C269" s="287"/>
      <c r="D269" s="289"/>
      <c r="E269" s="288"/>
      <c r="F269" s="289"/>
      <c r="G269" s="288"/>
    </row>
    <row r="270" spans="2:7">
      <c r="B270" s="287"/>
      <c r="C270" s="287"/>
      <c r="D270" s="289"/>
      <c r="E270" s="288"/>
      <c r="F270" s="289"/>
      <c r="G270" s="288"/>
    </row>
    <row r="271" spans="2:7">
      <c r="B271" s="287"/>
      <c r="C271" s="287"/>
      <c r="D271" s="289"/>
      <c r="E271" s="288"/>
      <c r="F271" s="289"/>
      <c r="G271" s="288"/>
    </row>
    <row r="272" spans="2:7">
      <c r="B272" s="287"/>
      <c r="C272" s="287"/>
      <c r="D272" s="289"/>
      <c r="E272" s="289"/>
      <c r="F272" s="289"/>
      <c r="G272" s="289"/>
    </row>
    <row r="273" spans="2:7">
      <c r="B273" s="287"/>
      <c r="C273" s="287"/>
      <c r="D273" s="289"/>
      <c r="E273" s="288"/>
      <c r="F273" s="289"/>
      <c r="G273" s="288"/>
    </row>
    <row r="274" spans="2:7">
      <c r="B274" s="287"/>
      <c r="C274" s="287"/>
      <c r="D274" s="289"/>
      <c r="E274" s="288"/>
      <c r="F274" s="289"/>
      <c r="G274" s="288"/>
    </row>
    <row r="275" spans="2:7">
      <c r="B275" s="287"/>
      <c r="C275" s="287"/>
      <c r="D275" s="289"/>
      <c r="E275" s="288"/>
      <c r="F275" s="289"/>
      <c r="G275" s="288"/>
    </row>
    <row r="276" spans="2:7">
      <c r="B276" s="287"/>
      <c r="C276" s="287"/>
      <c r="D276" s="289"/>
      <c r="E276" s="288"/>
      <c r="F276" s="289"/>
      <c r="G276" s="288"/>
    </row>
    <row r="277" spans="2:7">
      <c r="B277" s="287"/>
      <c r="C277" s="287"/>
      <c r="D277" s="289"/>
      <c r="E277" s="288"/>
      <c r="F277" s="289"/>
      <c r="G277" s="288"/>
    </row>
    <row r="278" spans="2:7">
      <c r="B278" s="287"/>
      <c r="C278" s="287"/>
      <c r="D278" s="289"/>
      <c r="E278" s="288"/>
      <c r="F278" s="289"/>
      <c r="G278" s="288"/>
    </row>
    <row r="279" spans="2:7">
      <c r="B279" s="287"/>
      <c r="C279" s="287"/>
      <c r="D279" s="289"/>
      <c r="E279" s="288"/>
      <c r="F279" s="289"/>
      <c r="G279" s="288"/>
    </row>
    <row r="280" spans="2:7">
      <c r="B280" s="287"/>
      <c r="C280" s="287"/>
      <c r="D280" s="289"/>
      <c r="E280" s="288"/>
      <c r="F280" s="289"/>
      <c r="G280" s="288"/>
    </row>
    <row r="281" spans="2:7">
      <c r="B281" s="287"/>
      <c r="C281" s="287"/>
      <c r="D281" s="289"/>
      <c r="E281" s="288"/>
      <c r="F281" s="289"/>
      <c r="G281" s="288"/>
    </row>
    <row r="282" spans="2:7">
      <c r="B282" s="287"/>
      <c r="C282" s="287"/>
      <c r="D282" s="289"/>
      <c r="E282" s="288"/>
      <c r="F282" s="289"/>
      <c r="G282" s="288"/>
    </row>
    <row r="283" spans="2:7">
      <c r="B283" s="287"/>
      <c r="C283" s="287"/>
      <c r="D283" s="289"/>
      <c r="E283" s="288"/>
      <c r="F283" s="289"/>
      <c r="G283" s="288"/>
    </row>
    <row r="284" spans="2:7">
      <c r="B284" s="287"/>
      <c r="C284" s="287"/>
      <c r="D284" s="289"/>
      <c r="E284" s="288"/>
      <c r="F284" s="289"/>
      <c r="G284" s="288"/>
    </row>
    <row r="285" spans="2:7">
      <c r="B285" s="287"/>
      <c r="C285" s="287"/>
      <c r="D285" s="289"/>
      <c r="E285" s="288"/>
      <c r="F285" s="289"/>
      <c r="G285" s="288"/>
    </row>
    <row r="286" spans="2:7">
      <c r="B286" s="287"/>
      <c r="C286" s="287"/>
      <c r="D286" s="289"/>
      <c r="E286" s="288"/>
      <c r="F286" s="289"/>
      <c r="G286" s="288"/>
    </row>
    <row r="287" spans="2:7">
      <c r="B287" s="287"/>
      <c r="C287" s="287"/>
      <c r="D287" s="289"/>
      <c r="E287" s="288"/>
      <c r="F287" s="289"/>
      <c r="G287" s="288"/>
    </row>
    <row r="288" spans="2:7">
      <c r="B288" s="287"/>
      <c r="C288" s="287"/>
      <c r="D288" s="289"/>
      <c r="E288" s="288"/>
      <c r="F288" s="289"/>
      <c r="G288" s="288"/>
    </row>
    <row r="289" spans="2:7">
      <c r="B289" s="287"/>
      <c r="C289" s="287"/>
      <c r="D289" s="289"/>
      <c r="E289" s="288"/>
      <c r="F289" s="289"/>
      <c r="G289" s="288"/>
    </row>
    <row r="290" spans="2:7">
      <c r="B290" s="287"/>
      <c r="C290" s="287"/>
      <c r="D290" s="289"/>
      <c r="E290" s="288"/>
      <c r="F290" s="289"/>
      <c r="G290" s="288"/>
    </row>
    <row r="291" spans="2:7">
      <c r="B291" s="287"/>
      <c r="C291" s="287"/>
      <c r="D291" s="289"/>
      <c r="E291" s="289"/>
      <c r="F291" s="289"/>
      <c r="G291" s="289"/>
    </row>
    <row r="292" spans="2:7">
      <c r="B292" s="287"/>
      <c r="C292" s="287"/>
      <c r="D292" s="289"/>
      <c r="E292" s="288"/>
      <c r="F292" s="289"/>
      <c r="G292" s="288"/>
    </row>
    <row r="293" spans="2:7">
      <c r="B293" s="287"/>
      <c r="C293" s="287"/>
      <c r="D293" s="289"/>
      <c r="E293" s="288"/>
      <c r="F293" s="289"/>
      <c r="G293" s="288"/>
    </row>
    <row r="294" spans="2:7">
      <c r="B294" s="287"/>
      <c r="C294" s="287"/>
      <c r="D294" s="289"/>
      <c r="E294" s="288"/>
      <c r="F294" s="289"/>
      <c r="G294" s="288"/>
    </row>
    <row r="295" spans="2:7">
      <c r="B295" s="287"/>
      <c r="C295" s="287"/>
      <c r="D295" s="289"/>
      <c r="E295" s="288"/>
      <c r="F295" s="289"/>
      <c r="G295" s="288"/>
    </row>
    <row r="296" spans="2:7">
      <c r="B296" s="287"/>
      <c r="C296" s="287"/>
      <c r="D296" s="289"/>
      <c r="E296" s="288"/>
      <c r="F296" s="289"/>
      <c r="G296" s="288"/>
    </row>
    <row r="297" spans="2:7">
      <c r="B297" s="287"/>
      <c r="C297" s="287"/>
      <c r="D297" s="289"/>
      <c r="E297" s="288"/>
      <c r="F297" s="289"/>
      <c r="G297" s="288"/>
    </row>
    <row r="298" spans="2:7">
      <c r="B298" s="287"/>
      <c r="C298" s="287"/>
      <c r="D298" s="289"/>
      <c r="E298" s="288"/>
      <c r="F298" s="289"/>
      <c r="G298" s="288"/>
    </row>
    <row r="299" spans="2:7">
      <c r="B299" s="287"/>
      <c r="C299" s="287"/>
      <c r="D299" s="289"/>
      <c r="E299" s="288"/>
      <c r="F299" s="289"/>
      <c r="G299" s="288"/>
    </row>
    <row r="300" spans="2:7">
      <c r="B300" s="287"/>
      <c r="C300" s="287"/>
      <c r="D300" s="289"/>
      <c r="E300" s="288"/>
      <c r="F300" s="289"/>
      <c r="G300" s="288"/>
    </row>
    <row r="301" spans="2:7">
      <c r="B301" s="287"/>
      <c r="C301" s="287"/>
      <c r="D301" s="289"/>
      <c r="E301" s="288"/>
      <c r="F301" s="289"/>
      <c r="G301" s="288"/>
    </row>
    <row r="302" spans="2:7">
      <c r="B302" s="287"/>
      <c r="C302" s="287"/>
      <c r="D302" s="289"/>
      <c r="E302" s="288"/>
      <c r="F302" s="289"/>
      <c r="G302" s="288"/>
    </row>
    <row r="303" spans="2:7">
      <c r="B303" s="287"/>
      <c r="C303" s="287"/>
      <c r="D303" s="289"/>
      <c r="E303" s="289"/>
      <c r="F303" s="289"/>
      <c r="G303" s="289"/>
    </row>
    <row r="304" spans="2:7">
      <c r="B304" s="287"/>
      <c r="C304" s="287"/>
      <c r="D304" s="289"/>
      <c r="E304" s="288"/>
      <c r="F304" s="289"/>
      <c r="G304" s="288"/>
    </row>
    <row r="305" spans="2:7">
      <c r="B305" s="287"/>
      <c r="C305" s="287"/>
      <c r="D305" s="289"/>
      <c r="E305" s="288"/>
      <c r="F305" s="289"/>
      <c r="G305" s="288"/>
    </row>
    <row r="306" spans="2:7">
      <c r="B306" s="287"/>
      <c r="C306" s="287"/>
      <c r="D306" s="289"/>
      <c r="E306" s="289"/>
      <c r="F306" s="289"/>
      <c r="G306" s="289"/>
    </row>
    <row r="307" spans="2:7">
      <c r="B307" s="287"/>
      <c r="C307" s="287"/>
      <c r="D307" s="289"/>
      <c r="E307" s="289"/>
      <c r="F307" s="289"/>
      <c r="G307" s="289"/>
    </row>
    <row r="308" spans="2:7">
      <c r="B308" s="287"/>
      <c r="C308" s="287"/>
      <c r="D308" s="289"/>
      <c r="E308" s="289"/>
      <c r="F308" s="289"/>
      <c r="G308" s="289"/>
    </row>
    <row r="309" spans="2:7">
      <c r="B309" s="287"/>
      <c r="C309" s="287"/>
      <c r="D309" s="289"/>
      <c r="E309" s="288"/>
      <c r="F309" s="289"/>
      <c r="G309" s="288"/>
    </row>
    <row r="310" spans="2:7">
      <c r="B310" s="287"/>
      <c r="C310" s="287"/>
      <c r="D310" s="289"/>
      <c r="E310" s="288"/>
      <c r="F310" s="289"/>
      <c r="G310" s="288"/>
    </row>
    <row r="311" spans="2:7">
      <c r="B311" s="287"/>
      <c r="C311" s="287"/>
      <c r="D311" s="289"/>
      <c r="E311" s="288"/>
      <c r="F311" s="289"/>
      <c r="G311" s="288"/>
    </row>
    <row r="312" spans="2:7">
      <c r="B312" s="287"/>
      <c r="C312" s="287"/>
      <c r="D312" s="289"/>
      <c r="E312" s="288"/>
      <c r="F312" s="289"/>
      <c r="G312" s="288"/>
    </row>
  </sheetData>
  <autoFilter ref="B6:G312" xr:uid="{00000000-0009-0000-0000-000007000000}"/>
  <mergeCells count="2">
    <mergeCell ref="I6:K6"/>
    <mergeCell ref="O131:Q13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58"/>
  <sheetViews>
    <sheetView topLeftCell="A221" workbookViewId="0">
      <selection activeCell="D16" sqref="D16"/>
    </sheetView>
  </sheetViews>
  <sheetFormatPr baseColWidth="10" defaultRowHeight="12.75"/>
  <cols>
    <col min="1" max="1" width="5" style="52" customWidth="1"/>
    <col min="2" max="2" width="8.5703125" style="52" bestFit="1" customWidth="1"/>
    <col min="3" max="3" width="26.140625" style="52" bestFit="1" customWidth="1"/>
    <col min="4" max="4" width="12.85546875" style="52" customWidth="1"/>
    <col min="5" max="5" width="9.28515625" style="52" customWidth="1"/>
    <col min="6" max="6" width="10.28515625" style="52" customWidth="1"/>
    <col min="7" max="7" width="11.85546875" style="52" customWidth="1"/>
    <col min="8" max="8" width="5" style="52" customWidth="1"/>
    <col min="9" max="244" width="9.140625" style="52" customWidth="1"/>
    <col min="245" max="16384" width="11.42578125" style="52"/>
  </cols>
  <sheetData>
    <row r="1" spans="1:8">
      <c r="A1" s="53"/>
      <c r="B1" s="53"/>
      <c r="C1" s="53"/>
      <c r="D1" s="53"/>
      <c r="E1" s="53"/>
      <c r="F1" s="53"/>
      <c r="G1" s="53"/>
      <c r="H1" s="53"/>
    </row>
    <row r="2" spans="1:8">
      <c r="A2" s="53"/>
      <c r="B2" s="53"/>
      <c r="C2" s="53"/>
      <c r="D2" s="53"/>
      <c r="E2" s="53"/>
      <c r="F2" s="53"/>
      <c r="G2" s="53"/>
      <c r="H2" s="53"/>
    </row>
    <row r="3" spans="1:8">
      <c r="A3" s="53"/>
      <c r="B3" s="70"/>
      <c r="C3" s="71" t="s">
        <v>352</v>
      </c>
      <c r="D3" s="71"/>
      <c r="E3" s="71"/>
      <c r="F3" s="71"/>
      <c r="G3" s="53"/>
      <c r="H3" s="53"/>
    </row>
    <row r="4" spans="1:8">
      <c r="A4" s="53"/>
      <c r="B4" s="70"/>
      <c r="C4" s="71"/>
      <c r="D4" s="71"/>
      <c r="E4" s="71"/>
      <c r="F4" s="71"/>
      <c r="G4" s="58"/>
      <c r="H4" s="53"/>
    </row>
    <row r="5" spans="1:8">
      <c r="A5" s="53"/>
      <c r="B5" s="70"/>
      <c r="C5" s="71" t="s">
        <v>675</v>
      </c>
      <c r="D5" s="71" t="s">
        <v>677</v>
      </c>
      <c r="E5" s="73"/>
      <c r="F5" s="73"/>
      <c r="G5" s="53"/>
      <c r="H5" s="53"/>
    </row>
    <row r="6" spans="1:8">
      <c r="A6" s="53"/>
      <c r="B6" s="70"/>
      <c r="C6" s="71"/>
      <c r="D6" s="71"/>
      <c r="E6" s="73"/>
      <c r="F6" s="73"/>
      <c r="G6" s="59"/>
      <c r="H6" s="53"/>
    </row>
    <row r="7" spans="1:8">
      <c r="A7" s="53"/>
      <c r="B7" s="70"/>
      <c r="C7" s="71" t="s">
        <v>674</v>
      </c>
      <c r="D7" s="73" t="s">
        <v>673</v>
      </c>
      <c r="E7" s="73"/>
      <c r="F7" s="73"/>
      <c r="G7" s="59"/>
      <c r="H7" s="53"/>
    </row>
    <row r="8" spans="1:8">
      <c r="A8" s="53"/>
      <c r="B8" s="70"/>
      <c r="C8" s="71"/>
      <c r="D8" s="73"/>
      <c r="E8" s="73"/>
      <c r="F8" s="73"/>
      <c r="G8" s="53"/>
      <c r="H8" s="53"/>
    </row>
    <row r="9" spans="1:8">
      <c r="A9" s="53"/>
      <c r="B9" s="70"/>
      <c r="C9" s="73" t="s">
        <v>672</v>
      </c>
      <c r="D9" s="73"/>
      <c r="E9" s="73"/>
      <c r="F9" s="73"/>
      <c r="G9" s="53"/>
      <c r="H9" s="53"/>
    </row>
    <row r="10" spans="1:8">
      <c r="A10" s="53"/>
      <c r="B10" s="70"/>
      <c r="C10" s="70"/>
      <c r="D10" s="70"/>
      <c r="E10" s="70"/>
      <c r="F10" s="70"/>
      <c r="G10" s="53"/>
      <c r="H10" s="53"/>
    </row>
    <row r="11" spans="1:8">
      <c r="A11" s="53"/>
      <c r="B11" s="70"/>
      <c r="C11" s="72" t="s">
        <v>671</v>
      </c>
      <c r="D11" s="72"/>
      <c r="E11" s="72"/>
      <c r="F11" s="72"/>
      <c r="G11" s="53"/>
      <c r="H11" s="53"/>
    </row>
    <row r="12" spans="1:8">
      <c r="A12" s="53"/>
      <c r="B12" s="53"/>
      <c r="C12" s="53"/>
      <c r="D12" s="53"/>
      <c r="E12" s="53"/>
      <c r="F12" s="53"/>
      <c r="G12" s="53"/>
      <c r="H12" s="53"/>
    </row>
    <row r="13" spans="1:8">
      <c r="A13" s="53"/>
      <c r="B13" s="57" t="s">
        <v>353</v>
      </c>
      <c r="C13" s="60" t="s">
        <v>354</v>
      </c>
      <c r="D13" s="60" t="s">
        <v>355</v>
      </c>
      <c r="E13" s="56" t="s">
        <v>356</v>
      </c>
      <c r="F13" s="60" t="s">
        <v>357</v>
      </c>
      <c r="G13" s="60" t="s">
        <v>358</v>
      </c>
      <c r="H13" s="53"/>
    </row>
    <row r="14" spans="1:8">
      <c r="A14" s="53"/>
      <c r="B14" s="74" t="s">
        <v>143</v>
      </c>
      <c r="C14" s="61" t="s">
        <v>7</v>
      </c>
      <c r="D14" s="62">
        <v>13336101</v>
      </c>
      <c r="E14" s="55">
        <v>11782024</v>
      </c>
      <c r="F14" s="62">
        <v>14918513</v>
      </c>
      <c r="G14" s="62">
        <v>10199613</v>
      </c>
      <c r="H14" s="53"/>
    </row>
    <row r="15" spans="1:8">
      <c r="A15" s="53"/>
      <c r="B15" s="74" t="s">
        <v>275</v>
      </c>
      <c r="C15" s="63" t="s">
        <v>10</v>
      </c>
      <c r="D15" s="64">
        <v>5180837</v>
      </c>
      <c r="E15" s="55">
        <v>10685624</v>
      </c>
      <c r="F15" s="64">
        <v>12446864</v>
      </c>
      <c r="G15" s="64">
        <v>3419598</v>
      </c>
      <c r="H15" s="53"/>
    </row>
    <row r="16" spans="1:8">
      <c r="A16" s="53"/>
      <c r="B16" s="74" t="s">
        <v>147</v>
      </c>
      <c r="C16" s="63" t="s">
        <v>11</v>
      </c>
      <c r="D16" s="64">
        <v>5179300</v>
      </c>
      <c r="E16" s="55">
        <v>8270256</v>
      </c>
      <c r="F16" s="64">
        <v>10152415</v>
      </c>
      <c r="G16" s="64">
        <v>3297140</v>
      </c>
      <c r="H16" s="53"/>
    </row>
    <row r="17" spans="1:8">
      <c r="A17" s="53"/>
      <c r="B17" s="74" t="s">
        <v>276</v>
      </c>
      <c r="C17" s="63" t="s">
        <v>12</v>
      </c>
      <c r="D17" s="64">
        <v>5179300</v>
      </c>
      <c r="E17" s="55">
        <v>8270256</v>
      </c>
      <c r="F17" s="64">
        <v>10152415</v>
      </c>
      <c r="G17" s="64">
        <v>3297140</v>
      </c>
      <c r="H17" s="53"/>
    </row>
    <row r="18" spans="1:8">
      <c r="A18" s="53"/>
      <c r="B18" s="74" t="s">
        <v>277</v>
      </c>
      <c r="C18" s="63" t="s">
        <v>13</v>
      </c>
      <c r="D18" s="64">
        <v>1537</v>
      </c>
      <c r="E18" s="55">
        <v>301594</v>
      </c>
      <c r="F18" s="64">
        <v>224219</v>
      </c>
      <c r="G18" s="64">
        <v>78912</v>
      </c>
      <c r="H18" s="53"/>
    </row>
    <row r="19" spans="1:8">
      <c r="A19" s="53"/>
      <c r="B19" s="74" t="s">
        <v>548</v>
      </c>
      <c r="C19" s="63" t="s">
        <v>475</v>
      </c>
      <c r="D19" s="64">
        <v>0</v>
      </c>
      <c r="E19" s="55">
        <v>0</v>
      </c>
      <c r="F19" s="64">
        <v>0</v>
      </c>
      <c r="G19" s="64">
        <v>0</v>
      </c>
      <c r="H19" s="53"/>
    </row>
    <row r="20" spans="1:8">
      <c r="A20" s="53"/>
      <c r="B20" s="74" t="s">
        <v>278</v>
      </c>
      <c r="C20" s="63" t="s">
        <v>14</v>
      </c>
      <c r="D20" s="64">
        <v>1537</v>
      </c>
      <c r="E20" s="55">
        <v>118951</v>
      </c>
      <c r="F20" s="64">
        <v>48126</v>
      </c>
      <c r="G20" s="64">
        <v>72362</v>
      </c>
      <c r="H20" s="53"/>
    </row>
    <row r="21" spans="1:8">
      <c r="A21" s="53"/>
      <c r="B21" s="74" t="s">
        <v>678</v>
      </c>
      <c r="C21" s="63" t="s">
        <v>476</v>
      </c>
      <c r="D21" s="64">
        <v>0</v>
      </c>
      <c r="E21" s="55">
        <v>19201</v>
      </c>
      <c r="F21" s="64">
        <v>14000</v>
      </c>
      <c r="G21" s="64">
        <v>5202</v>
      </c>
      <c r="H21" s="53"/>
    </row>
    <row r="22" spans="1:8">
      <c r="A22" s="53"/>
      <c r="B22" s="74" t="s">
        <v>549</v>
      </c>
      <c r="C22" s="63" t="s">
        <v>477</v>
      </c>
      <c r="D22" s="64">
        <v>106</v>
      </c>
      <c r="E22" s="55">
        <v>9845</v>
      </c>
      <c r="F22" s="64">
        <v>9951</v>
      </c>
      <c r="G22" s="64">
        <v>0</v>
      </c>
      <c r="H22" s="53"/>
    </row>
    <row r="23" spans="1:8">
      <c r="A23" s="53"/>
      <c r="B23" s="74" t="s">
        <v>550</v>
      </c>
      <c r="C23" s="63" t="s">
        <v>478</v>
      </c>
      <c r="D23" s="64">
        <v>0</v>
      </c>
      <c r="E23" s="55">
        <v>43590</v>
      </c>
      <c r="F23" s="64">
        <v>7788</v>
      </c>
      <c r="G23" s="64">
        <v>35802</v>
      </c>
      <c r="H23" s="53"/>
    </row>
    <row r="24" spans="1:8">
      <c r="A24" s="53"/>
      <c r="B24" s="74" t="s">
        <v>679</v>
      </c>
      <c r="C24" s="63" t="s">
        <v>479</v>
      </c>
      <c r="D24" s="64">
        <v>0</v>
      </c>
      <c r="E24" s="55">
        <v>17388</v>
      </c>
      <c r="F24" s="64">
        <v>7125</v>
      </c>
      <c r="G24" s="64">
        <v>10263</v>
      </c>
      <c r="H24" s="53"/>
    </row>
    <row r="25" spans="1:8">
      <c r="A25" s="53"/>
      <c r="B25" s="74" t="s">
        <v>680</v>
      </c>
      <c r="C25" s="63" t="s">
        <v>480</v>
      </c>
      <c r="D25" s="64">
        <v>0</v>
      </c>
      <c r="E25" s="55">
        <v>2002</v>
      </c>
      <c r="F25" s="64">
        <v>242</v>
      </c>
      <c r="G25" s="64">
        <v>1760</v>
      </c>
      <c r="H25" s="53"/>
    </row>
    <row r="26" spans="1:8">
      <c r="A26" s="53"/>
      <c r="B26" s="74" t="s">
        <v>681</v>
      </c>
      <c r="C26" s="63" t="s">
        <v>481</v>
      </c>
      <c r="D26" s="64">
        <v>0</v>
      </c>
      <c r="E26" s="55">
        <v>0</v>
      </c>
      <c r="F26" s="64">
        <v>0</v>
      </c>
      <c r="G26" s="64">
        <v>0</v>
      </c>
      <c r="H26" s="53"/>
    </row>
    <row r="27" spans="1:8" ht="18">
      <c r="A27" s="53"/>
      <c r="B27" s="74" t="s">
        <v>682</v>
      </c>
      <c r="C27" s="63" t="s">
        <v>482</v>
      </c>
      <c r="D27" s="64">
        <v>1331</v>
      </c>
      <c r="E27" s="55">
        <v>11802</v>
      </c>
      <c r="F27" s="64">
        <v>4194</v>
      </c>
      <c r="G27" s="64">
        <v>8940</v>
      </c>
      <c r="H27" s="53"/>
    </row>
    <row r="28" spans="1:8">
      <c r="A28" s="53"/>
      <c r="B28" s="74" t="s">
        <v>683</v>
      </c>
      <c r="C28" s="63" t="s">
        <v>483</v>
      </c>
      <c r="D28" s="64">
        <v>0</v>
      </c>
      <c r="E28" s="55">
        <v>7705</v>
      </c>
      <c r="F28" s="64">
        <v>4379</v>
      </c>
      <c r="G28" s="64">
        <v>3326</v>
      </c>
      <c r="H28" s="53"/>
    </row>
    <row r="29" spans="1:8">
      <c r="A29" s="53"/>
      <c r="B29" s="74" t="s">
        <v>684</v>
      </c>
      <c r="C29" s="63" t="s">
        <v>484</v>
      </c>
      <c r="D29" s="64">
        <v>0</v>
      </c>
      <c r="E29" s="55">
        <v>2122</v>
      </c>
      <c r="F29" s="64">
        <v>0</v>
      </c>
      <c r="G29" s="64">
        <v>2122</v>
      </c>
      <c r="H29" s="53"/>
    </row>
    <row r="30" spans="1:8" ht="18">
      <c r="A30" s="53"/>
      <c r="B30" s="74" t="s">
        <v>685</v>
      </c>
      <c r="C30" s="63" t="s">
        <v>485</v>
      </c>
      <c r="D30" s="64">
        <v>100</v>
      </c>
      <c r="E30" s="55">
        <v>1638</v>
      </c>
      <c r="F30" s="64">
        <v>447</v>
      </c>
      <c r="G30" s="64">
        <v>1291</v>
      </c>
      <c r="H30" s="53"/>
    </row>
    <row r="31" spans="1:8" ht="18">
      <c r="A31" s="53"/>
      <c r="B31" s="74" t="s">
        <v>686</v>
      </c>
      <c r="C31" s="63" t="s">
        <v>486</v>
      </c>
      <c r="D31" s="64">
        <v>0</v>
      </c>
      <c r="E31" s="55">
        <v>3657</v>
      </c>
      <c r="F31" s="64">
        <v>0</v>
      </c>
      <c r="G31" s="64">
        <v>3657</v>
      </c>
      <c r="H31" s="53"/>
    </row>
    <row r="32" spans="1:8">
      <c r="A32" s="53"/>
      <c r="B32" s="74" t="s">
        <v>170</v>
      </c>
      <c r="C32" s="63" t="s">
        <v>487</v>
      </c>
      <c r="D32" s="64">
        <v>0</v>
      </c>
      <c r="E32" s="55">
        <v>180258</v>
      </c>
      <c r="F32" s="64">
        <v>173708</v>
      </c>
      <c r="G32" s="64">
        <v>6550</v>
      </c>
      <c r="H32" s="53"/>
    </row>
    <row r="33" spans="1:8" ht="18">
      <c r="A33" s="53"/>
      <c r="B33" s="74" t="s">
        <v>279</v>
      </c>
      <c r="C33" s="63" t="s">
        <v>414</v>
      </c>
      <c r="D33" s="64">
        <v>0</v>
      </c>
      <c r="E33" s="55">
        <v>2385</v>
      </c>
      <c r="F33" s="64">
        <v>2385</v>
      </c>
      <c r="G33" s="64">
        <v>0</v>
      </c>
      <c r="H33" s="53"/>
    </row>
    <row r="34" spans="1:8">
      <c r="A34" s="53"/>
      <c r="B34" s="74" t="s">
        <v>148</v>
      </c>
      <c r="C34" s="63" t="s">
        <v>15</v>
      </c>
      <c r="D34" s="64">
        <v>0</v>
      </c>
      <c r="E34" s="55">
        <v>2023421</v>
      </c>
      <c r="F34" s="64">
        <v>2023421</v>
      </c>
      <c r="G34" s="64">
        <v>0</v>
      </c>
      <c r="H34" s="53"/>
    </row>
    <row r="35" spans="1:8">
      <c r="A35" s="53"/>
      <c r="B35" s="74" t="s">
        <v>381</v>
      </c>
      <c r="C35" s="61" t="s">
        <v>488</v>
      </c>
      <c r="D35" s="62">
        <v>0</v>
      </c>
      <c r="E35" s="55">
        <v>20501</v>
      </c>
      <c r="F35" s="62">
        <v>20501</v>
      </c>
      <c r="G35" s="62">
        <v>0</v>
      </c>
      <c r="H35" s="53"/>
    </row>
    <row r="36" spans="1:8">
      <c r="A36" s="53"/>
      <c r="B36" s="74" t="s">
        <v>281</v>
      </c>
      <c r="C36" s="63" t="s">
        <v>16</v>
      </c>
      <c r="D36" s="64">
        <v>0</v>
      </c>
      <c r="E36" s="55">
        <v>2002920</v>
      </c>
      <c r="F36" s="64">
        <v>2002920</v>
      </c>
      <c r="G36" s="64">
        <v>0</v>
      </c>
      <c r="H36" s="53"/>
    </row>
    <row r="37" spans="1:8">
      <c r="A37" s="53"/>
      <c r="B37" s="74" t="s">
        <v>229</v>
      </c>
      <c r="C37" s="63" t="s">
        <v>226</v>
      </c>
      <c r="D37" s="64">
        <v>0</v>
      </c>
      <c r="E37" s="55">
        <v>90354</v>
      </c>
      <c r="F37" s="64">
        <v>46809</v>
      </c>
      <c r="G37" s="64">
        <v>43545</v>
      </c>
      <c r="H37" s="53"/>
    </row>
    <row r="38" spans="1:8">
      <c r="A38" s="53"/>
      <c r="B38" s="74" t="s">
        <v>405</v>
      </c>
      <c r="C38" s="63" t="s">
        <v>489</v>
      </c>
      <c r="D38" s="64">
        <v>0</v>
      </c>
      <c r="E38" s="55">
        <v>43545</v>
      </c>
      <c r="F38" s="64">
        <v>0</v>
      </c>
      <c r="G38" s="64">
        <v>43545</v>
      </c>
      <c r="H38" s="53"/>
    </row>
    <row r="39" spans="1:8">
      <c r="A39" s="53"/>
      <c r="B39" s="74" t="s">
        <v>371</v>
      </c>
      <c r="C39" s="63" t="s">
        <v>359</v>
      </c>
      <c r="D39" s="64">
        <v>0</v>
      </c>
      <c r="E39" s="55">
        <v>46809</v>
      </c>
      <c r="F39" s="64">
        <v>46809</v>
      </c>
      <c r="G39" s="64">
        <v>0</v>
      </c>
      <c r="H39" s="53"/>
    </row>
    <row r="40" spans="1:8">
      <c r="A40" s="53"/>
      <c r="B40" s="74" t="s">
        <v>634</v>
      </c>
      <c r="C40" s="63" t="s">
        <v>490</v>
      </c>
      <c r="D40" s="64">
        <v>7770185</v>
      </c>
      <c r="E40" s="55">
        <v>1076544</v>
      </c>
      <c r="F40" s="64">
        <v>2471649</v>
      </c>
      <c r="G40" s="64">
        <v>6375080</v>
      </c>
      <c r="H40" s="53"/>
    </row>
    <row r="41" spans="1:8">
      <c r="A41" s="53"/>
      <c r="B41" s="74" t="s">
        <v>283</v>
      </c>
      <c r="C41" s="63" t="s">
        <v>17</v>
      </c>
      <c r="D41" s="64">
        <v>7770185</v>
      </c>
      <c r="E41" s="55">
        <v>1076544</v>
      </c>
      <c r="F41" s="64">
        <v>2471649</v>
      </c>
      <c r="G41" s="64">
        <v>6375080</v>
      </c>
      <c r="H41" s="53"/>
    </row>
    <row r="42" spans="1:8">
      <c r="A42" s="53"/>
      <c r="B42" s="74" t="s">
        <v>687</v>
      </c>
      <c r="C42" s="63" t="s">
        <v>491</v>
      </c>
      <c r="D42" s="64">
        <v>289</v>
      </c>
      <c r="E42" s="55">
        <v>1154</v>
      </c>
      <c r="F42" s="64">
        <v>12</v>
      </c>
      <c r="G42" s="64">
        <v>1431</v>
      </c>
      <c r="H42" s="53"/>
    </row>
    <row r="43" spans="1:8">
      <c r="A43" s="53"/>
      <c r="B43" s="74" t="s">
        <v>688</v>
      </c>
      <c r="C43" s="63" t="s">
        <v>492</v>
      </c>
      <c r="D43" s="64">
        <v>289</v>
      </c>
      <c r="E43" s="55">
        <v>1142</v>
      </c>
      <c r="F43" s="64">
        <v>0</v>
      </c>
      <c r="G43" s="64">
        <v>1431</v>
      </c>
      <c r="H43" s="53"/>
    </row>
    <row r="44" spans="1:8">
      <c r="A44" s="53"/>
      <c r="B44" s="74" t="s">
        <v>689</v>
      </c>
      <c r="C44" s="63" t="s">
        <v>493</v>
      </c>
      <c r="D44" s="64">
        <v>289</v>
      </c>
      <c r="E44" s="55">
        <v>1142</v>
      </c>
      <c r="F44" s="64">
        <v>0</v>
      </c>
      <c r="G44" s="64">
        <v>1431</v>
      </c>
      <c r="H44" s="53"/>
    </row>
    <row r="45" spans="1:8">
      <c r="A45" s="53"/>
      <c r="B45" s="74" t="s">
        <v>690</v>
      </c>
      <c r="C45" s="63" t="s">
        <v>492</v>
      </c>
      <c r="D45" s="64">
        <v>0</v>
      </c>
      <c r="E45" s="55">
        <v>12</v>
      </c>
      <c r="F45" s="64">
        <v>12</v>
      </c>
      <c r="G45" s="64">
        <v>0</v>
      </c>
      <c r="H45" s="53"/>
    </row>
    <row r="46" spans="1:8">
      <c r="A46" s="53"/>
      <c r="B46" s="74" t="s">
        <v>691</v>
      </c>
      <c r="C46" s="63" t="s">
        <v>494</v>
      </c>
      <c r="D46" s="64">
        <v>0</v>
      </c>
      <c r="E46" s="55">
        <v>12</v>
      </c>
      <c r="F46" s="64">
        <v>12</v>
      </c>
      <c r="G46" s="64">
        <v>0</v>
      </c>
      <c r="H46" s="53"/>
    </row>
    <row r="47" spans="1:8">
      <c r="A47" s="53"/>
      <c r="B47" s="74" t="s">
        <v>149</v>
      </c>
      <c r="C47" s="63" t="s">
        <v>18</v>
      </c>
      <c r="D47" s="64">
        <v>7769896</v>
      </c>
      <c r="E47" s="55">
        <v>1075390</v>
      </c>
      <c r="F47" s="64">
        <v>2471637</v>
      </c>
      <c r="G47" s="64">
        <v>6373649</v>
      </c>
      <c r="H47" s="53"/>
    </row>
    <row r="48" spans="1:8" ht="18">
      <c r="A48" s="53"/>
      <c r="B48" s="74" t="s">
        <v>692</v>
      </c>
      <c r="C48" s="63" t="s">
        <v>495</v>
      </c>
      <c r="D48" s="64">
        <v>283552</v>
      </c>
      <c r="E48" s="55">
        <v>328732</v>
      </c>
      <c r="F48" s="64">
        <v>408725</v>
      </c>
      <c r="G48" s="64">
        <v>203559</v>
      </c>
      <c r="H48" s="53"/>
    </row>
    <row r="49" spans="1:8" ht="18">
      <c r="A49" s="53"/>
      <c r="B49" s="74" t="s">
        <v>693</v>
      </c>
      <c r="C49" s="63" t="s">
        <v>496</v>
      </c>
      <c r="D49" s="64">
        <v>283552</v>
      </c>
      <c r="E49" s="55">
        <v>328732</v>
      </c>
      <c r="F49" s="64">
        <v>408725</v>
      </c>
      <c r="G49" s="64">
        <v>203559</v>
      </c>
      <c r="H49" s="53"/>
    </row>
    <row r="50" spans="1:8" ht="18">
      <c r="A50" s="53"/>
      <c r="B50" s="74" t="s">
        <v>694</v>
      </c>
      <c r="C50" s="63" t="s">
        <v>497</v>
      </c>
      <c r="D50" s="64">
        <v>7486344</v>
      </c>
      <c r="E50" s="55">
        <v>746658</v>
      </c>
      <c r="F50" s="64">
        <v>2062912</v>
      </c>
      <c r="G50" s="64">
        <v>6170090</v>
      </c>
      <c r="H50" s="53"/>
    </row>
    <row r="51" spans="1:8">
      <c r="A51" s="53"/>
      <c r="B51" s="74" t="s">
        <v>695</v>
      </c>
      <c r="C51" s="63" t="s">
        <v>498</v>
      </c>
      <c r="D51" s="64">
        <v>7097495</v>
      </c>
      <c r="E51" s="55">
        <v>193694</v>
      </c>
      <c r="F51" s="64">
        <v>2062912</v>
      </c>
      <c r="G51" s="64">
        <v>5228277</v>
      </c>
      <c r="H51" s="53"/>
    </row>
    <row r="52" spans="1:8">
      <c r="A52" s="53"/>
      <c r="B52" s="74" t="s">
        <v>696</v>
      </c>
      <c r="C52" s="63" t="s">
        <v>499</v>
      </c>
      <c r="D52" s="64">
        <v>90678</v>
      </c>
      <c r="E52" s="55">
        <v>0</v>
      </c>
      <c r="F52" s="64">
        <v>0</v>
      </c>
      <c r="G52" s="64">
        <v>90678</v>
      </c>
      <c r="H52" s="53"/>
    </row>
    <row r="53" spans="1:8" ht="18">
      <c r="A53" s="53"/>
      <c r="B53" s="74" t="s">
        <v>697</v>
      </c>
      <c r="C53" s="63" t="s">
        <v>500</v>
      </c>
      <c r="D53" s="64">
        <v>37669</v>
      </c>
      <c r="E53" s="55">
        <v>0</v>
      </c>
      <c r="F53" s="64">
        <v>0</v>
      </c>
      <c r="G53" s="64">
        <v>37669</v>
      </c>
      <c r="H53" s="53"/>
    </row>
    <row r="54" spans="1:8" ht="18">
      <c r="A54" s="53"/>
      <c r="B54" s="74" t="s">
        <v>698</v>
      </c>
      <c r="C54" s="63" t="s">
        <v>501</v>
      </c>
      <c r="D54" s="64">
        <v>28812</v>
      </c>
      <c r="E54" s="55">
        <v>0</v>
      </c>
      <c r="F54" s="64">
        <v>0</v>
      </c>
      <c r="G54" s="64">
        <v>28812</v>
      </c>
      <c r="H54" s="53"/>
    </row>
    <row r="55" spans="1:8" ht="18">
      <c r="A55" s="53"/>
      <c r="B55" s="74" t="s">
        <v>699</v>
      </c>
      <c r="C55" s="63" t="s">
        <v>485</v>
      </c>
      <c r="D55" s="64">
        <v>231690</v>
      </c>
      <c r="E55" s="55">
        <v>552964</v>
      </c>
      <c r="F55" s="64">
        <v>0</v>
      </c>
      <c r="G55" s="64">
        <v>784654</v>
      </c>
      <c r="H55" s="53"/>
    </row>
    <row r="56" spans="1:8">
      <c r="A56" s="53"/>
      <c r="B56" s="74" t="s">
        <v>551</v>
      </c>
      <c r="C56" s="61" t="s">
        <v>502</v>
      </c>
      <c r="D56" s="62">
        <v>0</v>
      </c>
      <c r="E56" s="55">
        <v>0</v>
      </c>
      <c r="F56" s="62">
        <v>0</v>
      </c>
      <c r="G56" s="62">
        <v>0</v>
      </c>
      <c r="H56" s="53"/>
    </row>
    <row r="57" spans="1:8">
      <c r="A57" s="53"/>
      <c r="B57" s="74" t="s">
        <v>150</v>
      </c>
      <c r="C57" s="63" t="s">
        <v>19</v>
      </c>
      <c r="D57" s="64">
        <v>0</v>
      </c>
      <c r="E57" s="55">
        <v>0</v>
      </c>
      <c r="F57" s="64">
        <v>0</v>
      </c>
      <c r="G57" s="64">
        <v>0</v>
      </c>
      <c r="H57" s="53"/>
    </row>
    <row r="58" spans="1:8">
      <c r="A58" s="53"/>
      <c r="B58" s="74" t="s">
        <v>700</v>
      </c>
      <c r="C58" s="63" t="s">
        <v>20</v>
      </c>
      <c r="D58" s="64">
        <v>0</v>
      </c>
      <c r="E58" s="55">
        <v>0</v>
      </c>
      <c r="F58" s="64">
        <v>0</v>
      </c>
      <c r="G58" s="64">
        <v>0</v>
      </c>
      <c r="H58" s="53"/>
    </row>
    <row r="59" spans="1:8">
      <c r="A59" s="53"/>
      <c r="B59" s="74" t="s">
        <v>701</v>
      </c>
      <c r="C59" s="63" t="s">
        <v>73</v>
      </c>
      <c r="D59" s="64">
        <v>0</v>
      </c>
      <c r="E59" s="55">
        <v>0</v>
      </c>
      <c r="F59" s="64">
        <v>0</v>
      </c>
      <c r="G59" s="64">
        <v>0</v>
      </c>
      <c r="H59" s="53"/>
    </row>
    <row r="60" spans="1:8">
      <c r="A60" s="53"/>
      <c r="B60" s="74" t="s">
        <v>284</v>
      </c>
      <c r="C60" s="63" t="s">
        <v>22</v>
      </c>
      <c r="D60" s="64">
        <v>261700</v>
      </c>
      <c r="E60" s="55">
        <v>17061</v>
      </c>
      <c r="F60" s="64">
        <v>0</v>
      </c>
      <c r="G60" s="64">
        <v>278762</v>
      </c>
      <c r="H60" s="53"/>
    </row>
    <row r="61" spans="1:8">
      <c r="A61" s="53"/>
      <c r="B61" s="74" t="s">
        <v>151</v>
      </c>
      <c r="C61" s="63" t="s">
        <v>23</v>
      </c>
      <c r="D61" s="64">
        <v>640309</v>
      </c>
      <c r="E61" s="55">
        <v>17061</v>
      </c>
      <c r="F61" s="64">
        <v>0</v>
      </c>
      <c r="G61" s="64">
        <v>657371</v>
      </c>
      <c r="H61" s="53"/>
    </row>
    <row r="62" spans="1:8">
      <c r="A62" s="53"/>
      <c r="B62" s="74" t="s">
        <v>285</v>
      </c>
      <c r="C62" s="63" t="s">
        <v>24</v>
      </c>
      <c r="D62" s="64">
        <v>56836</v>
      </c>
      <c r="E62" s="55">
        <v>954</v>
      </c>
      <c r="F62" s="64">
        <v>0</v>
      </c>
      <c r="G62" s="64">
        <v>57790</v>
      </c>
      <c r="H62" s="53"/>
    </row>
    <row r="63" spans="1:8">
      <c r="A63" s="53"/>
      <c r="B63" s="74" t="s">
        <v>554</v>
      </c>
      <c r="C63" s="63" t="s">
        <v>503</v>
      </c>
      <c r="D63" s="64">
        <v>46862</v>
      </c>
      <c r="E63" s="55">
        <v>0</v>
      </c>
      <c r="F63" s="64">
        <v>0</v>
      </c>
      <c r="G63" s="64">
        <v>46862</v>
      </c>
      <c r="H63" s="53"/>
    </row>
    <row r="64" spans="1:8">
      <c r="A64" s="53"/>
      <c r="B64" s="74" t="s">
        <v>286</v>
      </c>
      <c r="C64" s="63" t="s">
        <v>25</v>
      </c>
      <c r="D64" s="64">
        <v>212165</v>
      </c>
      <c r="E64" s="55">
        <v>9568</v>
      </c>
      <c r="F64" s="64">
        <v>0</v>
      </c>
      <c r="G64" s="64">
        <v>221733</v>
      </c>
      <c r="H64" s="53"/>
    </row>
    <row r="65" spans="1:8">
      <c r="A65" s="53"/>
      <c r="B65" s="74" t="s">
        <v>287</v>
      </c>
      <c r="C65" s="63" t="s">
        <v>26</v>
      </c>
      <c r="D65" s="64">
        <v>315766</v>
      </c>
      <c r="E65" s="55">
        <v>6540</v>
      </c>
      <c r="F65" s="64">
        <v>0</v>
      </c>
      <c r="G65" s="64">
        <v>322306</v>
      </c>
      <c r="H65" s="53"/>
    </row>
    <row r="66" spans="1:8" ht="18">
      <c r="A66" s="53"/>
      <c r="B66" s="74" t="s">
        <v>555</v>
      </c>
      <c r="C66" s="63" t="s">
        <v>27</v>
      </c>
      <c r="D66" s="64">
        <v>8680</v>
      </c>
      <c r="E66" s="55">
        <v>0</v>
      </c>
      <c r="F66" s="64">
        <v>0</v>
      </c>
      <c r="G66" s="64">
        <v>8680</v>
      </c>
      <c r="H66" s="53"/>
    </row>
    <row r="67" spans="1:8">
      <c r="A67" s="53"/>
      <c r="B67" s="74" t="s">
        <v>166</v>
      </c>
      <c r="C67" s="63" t="s">
        <v>31</v>
      </c>
      <c r="D67" s="64">
        <v>-378609</v>
      </c>
      <c r="E67" s="55">
        <v>0</v>
      </c>
      <c r="F67" s="64">
        <v>0</v>
      </c>
      <c r="G67" s="64">
        <v>-378609</v>
      </c>
      <c r="H67" s="53"/>
    </row>
    <row r="68" spans="1:8" ht="18">
      <c r="A68" s="53"/>
      <c r="B68" s="74" t="s">
        <v>416</v>
      </c>
      <c r="C68" s="63" t="s">
        <v>504</v>
      </c>
      <c r="D68" s="64">
        <v>-26497</v>
      </c>
      <c r="E68" s="55">
        <v>0</v>
      </c>
      <c r="F68" s="64">
        <v>0</v>
      </c>
      <c r="G68" s="64">
        <v>-26497</v>
      </c>
      <c r="H68" s="53"/>
    </row>
    <row r="69" spans="1:8">
      <c r="A69" s="53"/>
      <c r="B69" s="74" t="s">
        <v>556</v>
      </c>
      <c r="C69" s="63" t="s">
        <v>505</v>
      </c>
      <c r="D69" s="64">
        <v>-18673</v>
      </c>
      <c r="E69" s="55">
        <v>0</v>
      </c>
      <c r="F69" s="64">
        <v>0</v>
      </c>
      <c r="G69" s="64">
        <v>-18673</v>
      </c>
      <c r="H69" s="53"/>
    </row>
    <row r="70" spans="1:8" ht="18">
      <c r="A70" s="53"/>
      <c r="B70" s="74" t="s">
        <v>288</v>
      </c>
      <c r="C70" s="63" t="s">
        <v>32</v>
      </c>
      <c r="D70" s="64">
        <v>-132507</v>
      </c>
      <c r="E70" s="55">
        <v>0</v>
      </c>
      <c r="F70" s="64">
        <v>0</v>
      </c>
      <c r="G70" s="64">
        <v>-132507</v>
      </c>
      <c r="H70" s="53"/>
    </row>
    <row r="71" spans="1:8" ht="18">
      <c r="A71" s="53"/>
      <c r="B71" s="74" t="s">
        <v>337</v>
      </c>
      <c r="C71" s="63" t="s">
        <v>33</v>
      </c>
      <c r="D71" s="64">
        <v>-198816</v>
      </c>
      <c r="E71" s="55">
        <v>0</v>
      </c>
      <c r="F71" s="64">
        <v>0</v>
      </c>
      <c r="G71" s="64">
        <v>-198816</v>
      </c>
      <c r="H71" s="53"/>
    </row>
    <row r="72" spans="1:8" ht="18">
      <c r="A72" s="53"/>
      <c r="B72" s="74" t="s">
        <v>702</v>
      </c>
      <c r="C72" s="63" t="s">
        <v>506</v>
      </c>
      <c r="D72" s="64">
        <v>-2116</v>
      </c>
      <c r="E72" s="55">
        <v>0</v>
      </c>
      <c r="F72" s="64">
        <v>0</v>
      </c>
      <c r="G72" s="64">
        <v>-2116</v>
      </c>
      <c r="H72" s="53"/>
    </row>
    <row r="73" spans="1:8">
      <c r="A73" s="53"/>
      <c r="B73" s="74" t="s">
        <v>557</v>
      </c>
      <c r="C73" s="63" t="s">
        <v>507</v>
      </c>
      <c r="D73" s="64">
        <v>123379</v>
      </c>
      <c r="E73" s="55">
        <v>2794</v>
      </c>
      <c r="F73" s="64">
        <v>0</v>
      </c>
      <c r="G73" s="64">
        <v>126173</v>
      </c>
      <c r="H73" s="53"/>
    </row>
    <row r="74" spans="1:8">
      <c r="A74" s="53"/>
      <c r="B74" s="74" t="s">
        <v>153</v>
      </c>
      <c r="C74" s="63" t="s">
        <v>34</v>
      </c>
      <c r="D74" s="64">
        <v>249468</v>
      </c>
      <c r="E74" s="55">
        <v>2794</v>
      </c>
      <c r="F74" s="64">
        <v>0</v>
      </c>
      <c r="G74" s="64">
        <v>252262</v>
      </c>
      <c r="H74" s="53"/>
    </row>
    <row r="75" spans="1:8">
      <c r="A75" s="53"/>
      <c r="B75" s="74" t="s">
        <v>558</v>
      </c>
      <c r="C75" s="63" t="s">
        <v>30</v>
      </c>
      <c r="D75" s="64">
        <v>192772</v>
      </c>
      <c r="E75" s="55">
        <v>2794</v>
      </c>
      <c r="F75" s="64">
        <v>0</v>
      </c>
      <c r="G75" s="64">
        <v>195566</v>
      </c>
      <c r="H75" s="53"/>
    </row>
    <row r="76" spans="1:8">
      <c r="A76" s="53"/>
      <c r="B76" s="74" t="s">
        <v>703</v>
      </c>
      <c r="C76" s="63" t="s">
        <v>508</v>
      </c>
      <c r="D76" s="64">
        <v>56696</v>
      </c>
      <c r="E76" s="55">
        <v>0</v>
      </c>
      <c r="F76" s="64">
        <v>0</v>
      </c>
      <c r="G76" s="64">
        <v>56696</v>
      </c>
      <c r="H76" s="53"/>
    </row>
    <row r="77" spans="1:8" ht="18">
      <c r="A77" s="53"/>
      <c r="B77" s="74" t="s">
        <v>196</v>
      </c>
      <c r="C77" s="61" t="s">
        <v>509</v>
      </c>
      <c r="D77" s="62">
        <v>-126089</v>
      </c>
      <c r="E77" s="55">
        <v>0</v>
      </c>
      <c r="F77" s="62">
        <v>0</v>
      </c>
      <c r="G77" s="62">
        <v>-126089</v>
      </c>
      <c r="H77" s="53"/>
    </row>
    <row r="78" spans="1:8" ht="18">
      <c r="A78" s="53"/>
      <c r="B78" s="74" t="s">
        <v>559</v>
      </c>
      <c r="C78" s="63" t="s">
        <v>510</v>
      </c>
      <c r="D78" s="64">
        <v>-113860</v>
      </c>
      <c r="E78" s="55">
        <v>0</v>
      </c>
      <c r="F78" s="64">
        <v>0</v>
      </c>
      <c r="G78" s="64">
        <v>-113860</v>
      </c>
      <c r="H78" s="53"/>
    </row>
    <row r="79" spans="1:8" ht="18">
      <c r="A79" s="53"/>
      <c r="B79" s="74" t="s">
        <v>704</v>
      </c>
      <c r="C79" s="63" t="s">
        <v>511</v>
      </c>
      <c r="D79" s="64">
        <v>-12229</v>
      </c>
      <c r="E79" s="55">
        <v>0</v>
      </c>
      <c r="F79" s="64">
        <v>0</v>
      </c>
      <c r="G79" s="64">
        <v>-12229</v>
      </c>
      <c r="H79" s="53"/>
    </row>
    <row r="80" spans="1:8">
      <c r="A80" s="53"/>
      <c r="B80" s="74" t="s">
        <v>144</v>
      </c>
      <c r="C80" s="63" t="s">
        <v>8</v>
      </c>
      <c r="D80" s="64">
        <v>-4727925</v>
      </c>
      <c r="E80" s="55">
        <v>6318037</v>
      </c>
      <c r="F80" s="64">
        <v>5026894</v>
      </c>
      <c r="G80" s="64">
        <v>-3436782</v>
      </c>
      <c r="H80" s="53"/>
    </row>
    <row r="81" spans="1:8">
      <c r="A81" s="53"/>
      <c r="B81" s="74" t="s">
        <v>289</v>
      </c>
      <c r="C81" s="63" t="s">
        <v>35</v>
      </c>
      <c r="D81" s="64">
        <v>-176393</v>
      </c>
      <c r="E81" s="55">
        <v>4073068</v>
      </c>
      <c r="F81" s="64">
        <v>5026894</v>
      </c>
      <c r="G81" s="64">
        <v>-1130218</v>
      </c>
      <c r="H81" s="53"/>
    </row>
    <row r="82" spans="1:8">
      <c r="A82" s="53"/>
      <c r="B82" s="74" t="s">
        <v>290</v>
      </c>
      <c r="C82" s="63" t="s">
        <v>36</v>
      </c>
      <c r="D82" s="64">
        <v>-175813</v>
      </c>
      <c r="E82" s="55">
        <v>183138</v>
      </c>
      <c r="F82" s="64">
        <v>180167</v>
      </c>
      <c r="G82" s="64">
        <v>-172842</v>
      </c>
      <c r="H82" s="53"/>
    </row>
    <row r="83" spans="1:8">
      <c r="A83" s="53"/>
      <c r="B83" s="74" t="s">
        <v>705</v>
      </c>
      <c r="C83" s="63" t="s">
        <v>512</v>
      </c>
      <c r="D83" s="64">
        <v>-1680</v>
      </c>
      <c r="E83" s="55">
        <v>2</v>
      </c>
      <c r="F83" s="64">
        <v>0</v>
      </c>
      <c r="G83" s="64">
        <v>-1678</v>
      </c>
      <c r="H83" s="53"/>
    </row>
    <row r="84" spans="1:8">
      <c r="A84" s="53"/>
      <c r="B84" s="74" t="s">
        <v>706</v>
      </c>
      <c r="C84" s="63" t="s">
        <v>480</v>
      </c>
      <c r="D84" s="64">
        <v>-1678</v>
      </c>
      <c r="E84" s="55">
        <v>0</v>
      </c>
      <c r="F84" s="64">
        <v>0</v>
      </c>
      <c r="G84" s="64">
        <v>-1678</v>
      </c>
      <c r="H84" s="53"/>
    </row>
    <row r="85" spans="1:8" ht="18">
      <c r="A85" s="53"/>
      <c r="B85" s="74" t="s">
        <v>707</v>
      </c>
      <c r="C85" s="63" t="s">
        <v>513</v>
      </c>
      <c r="D85" s="64">
        <v>-2</v>
      </c>
      <c r="E85" s="55">
        <v>2</v>
      </c>
      <c r="F85" s="64">
        <v>0</v>
      </c>
      <c r="G85" s="64">
        <v>0</v>
      </c>
      <c r="H85" s="53"/>
    </row>
    <row r="86" spans="1:8">
      <c r="A86" s="53"/>
      <c r="B86" s="74" t="s">
        <v>560</v>
      </c>
      <c r="C86" s="63" t="s">
        <v>360</v>
      </c>
      <c r="D86" s="64">
        <v>-174133</v>
      </c>
      <c r="E86" s="55">
        <v>183136</v>
      </c>
      <c r="F86" s="64">
        <v>180167</v>
      </c>
      <c r="G86" s="64">
        <v>-171164</v>
      </c>
      <c r="H86" s="53"/>
    </row>
    <row r="87" spans="1:8">
      <c r="A87" s="53"/>
      <c r="B87" s="74" t="s">
        <v>155</v>
      </c>
      <c r="C87" s="63" t="s">
        <v>37</v>
      </c>
      <c r="D87" s="64">
        <v>0</v>
      </c>
      <c r="E87" s="55">
        <v>3825294</v>
      </c>
      <c r="F87" s="64">
        <v>4738485</v>
      </c>
      <c r="G87" s="64">
        <v>-913191</v>
      </c>
      <c r="H87" s="53"/>
    </row>
    <row r="88" spans="1:8">
      <c r="A88" s="53"/>
      <c r="B88" s="74" t="s">
        <v>292</v>
      </c>
      <c r="C88" s="63" t="s">
        <v>38</v>
      </c>
      <c r="D88" s="64">
        <v>0</v>
      </c>
      <c r="E88" s="55">
        <v>835045</v>
      </c>
      <c r="F88" s="64">
        <v>899114</v>
      </c>
      <c r="G88" s="64">
        <v>-64069</v>
      </c>
      <c r="H88" s="53"/>
    </row>
    <row r="89" spans="1:8">
      <c r="A89" s="53"/>
      <c r="B89" s="74" t="s">
        <v>293</v>
      </c>
      <c r="C89" s="63" t="s">
        <v>39</v>
      </c>
      <c r="D89" s="64">
        <v>0</v>
      </c>
      <c r="E89" s="55">
        <v>233331</v>
      </c>
      <c r="F89" s="64">
        <v>244730</v>
      </c>
      <c r="G89" s="64">
        <v>-11400</v>
      </c>
      <c r="H89" s="53"/>
    </row>
    <row r="90" spans="1:8">
      <c r="A90" s="53"/>
      <c r="B90" s="74" t="s">
        <v>372</v>
      </c>
      <c r="C90" s="63" t="s">
        <v>361</v>
      </c>
      <c r="D90" s="64">
        <v>0</v>
      </c>
      <c r="E90" s="55">
        <v>875286</v>
      </c>
      <c r="F90" s="64">
        <v>1328717</v>
      </c>
      <c r="G90" s="64">
        <v>-453432</v>
      </c>
      <c r="H90" s="53"/>
    </row>
    <row r="91" spans="1:8" ht="18">
      <c r="A91" s="53"/>
      <c r="B91" s="74" t="s">
        <v>294</v>
      </c>
      <c r="C91" s="63" t="s">
        <v>40</v>
      </c>
      <c r="D91" s="64">
        <v>0</v>
      </c>
      <c r="E91" s="55">
        <v>20880</v>
      </c>
      <c r="F91" s="64">
        <v>20956</v>
      </c>
      <c r="G91" s="64">
        <v>-75</v>
      </c>
      <c r="H91" s="53"/>
    </row>
    <row r="92" spans="1:8">
      <c r="A92" s="53"/>
      <c r="B92" s="74" t="s">
        <v>561</v>
      </c>
      <c r="C92" s="63" t="s">
        <v>514</v>
      </c>
      <c r="D92" s="64">
        <v>0</v>
      </c>
      <c r="E92" s="55">
        <v>1860753</v>
      </c>
      <c r="F92" s="64">
        <v>2244968</v>
      </c>
      <c r="G92" s="64">
        <v>-384215</v>
      </c>
      <c r="H92" s="53"/>
    </row>
    <row r="93" spans="1:8">
      <c r="A93" s="53"/>
      <c r="B93" s="74" t="s">
        <v>406</v>
      </c>
      <c r="C93" s="63" t="s">
        <v>415</v>
      </c>
      <c r="D93" s="64">
        <v>-580</v>
      </c>
      <c r="E93" s="55">
        <v>64636</v>
      </c>
      <c r="F93" s="64">
        <v>64696</v>
      </c>
      <c r="G93" s="64">
        <v>-640</v>
      </c>
      <c r="H93" s="53"/>
    </row>
    <row r="94" spans="1:8">
      <c r="A94" s="53"/>
      <c r="B94" s="74" t="s">
        <v>295</v>
      </c>
      <c r="C94" s="63" t="s">
        <v>420</v>
      </c>
      <c r="D94" s="64">
        <v>-580</v>
      </c>
      <c r="E94" s="55">
        <v>64636</v>
      </c>
      <c r="F94" s="64">
        <v>64696</v>
      </c>
      <c r="G94" s="64">
        <v>-640</v>
      </c>
      <c r="H94" s="53"/>
    </row>
    <row r="95" spans="1:8">
      <c r="A95" s="53"/>
      <c r="B95" s="74" t="s">
        <v>230</v>
      </c>
      <c r="C95" s="63" t="s">
        <v>226</v>
      </c>
      <c r="D95" s="64">
        <v>0</v>
      </c>
      <c r="E95" s="55">
        <v>0</v>
      </c>
      <c r="F95" s="64">
        <v>43545</v>
      </c>
      <c r="G95" s="64">
        <v>-43545</v>
      </c>
      <c r="H95" s="53"/>
    </row>
    <row r="96" spans="1:8">
      <c r="A96" s="53"/>
      <c r="B96" s="74" t="s">
        <v>407</v>
      </c>
      <c r="C96" s="63" t="s">
        <v>515</v>
      </c>
      <c r="D96" s="64">
        <v>0</v>
      </c>
      <c r="E96" s="55">
        <v>0</v>
      </c>
      <c r="F96" s="64">
        <v>43545</v>
      </c>
      <c r="G96" s="64">
        <v>-43545</v>
      </c>
      <c r="H96" s="53"/>
    </row>
    <row r="97" spans="1:8">
      <c r="A97" s="53"/>
      <c r="B97" s="74" t="s">
        <v>562</v>
      </c>
      <c r="C97" s="63" t="s">
        <v>516</v>
      </c>
      <c r="D97" s="64">
        <v>-2244968</v>
      </c>
      <c r="E97" s="55">
        <v>2244968</v>
      </c>
      <c r="F97" s="64">
        <v>0</v>
      </c>
      <c r="G97" s="64">
        <v>0</v>
      </c>
      <c r="H97" s="53"/>
    </row>
    <row r="98" spans="1:8">
      <c r="A98" s="53"/>
      <c r="B98" s="74" t="s">
        <v>297</v>
      </c>
      <c r="C98" s="61" t="s">
        <v>41</v>
      </c>
      <c r="D98" s="62">
        <v>-2244968</v>
      </c>
      <c r="E98" s="55">
        <v>2244968</v>
      </c>
      <c r="F98" s="62">
        <v>0</v>
      </c>
      <c r="G98" s="62">
        <v>0</v>
      </c>
      <c r="H98" s="53"/>
    </row>
    <row r="99" spans="1:8" ht="18">
      <c r="A99" s="53"/>
      <c r="B99" s="74" t="s">
        <v>171</v>
      </c>
      <c r="C99" s="63" t="s">
        <v>517</v>
      </c>
      <c r="D99" s="64">
        <v>-2244968</v>
      </c>
      <c r="E99" s="55">
        <v>2244968</v>
      </c>
      <c r="F99" s="64">
        <v>0</v>
      </c>
      <c r="G99" s="64">
        <v>0</v>
      </c>
      <c r="H99" s="53"/>
    </row>
    <row r="100" spans="1:8">
      <c r="A100" s="53"/>
      <c r="B100" s="74" t="s">
        <v>708</v>
      </c>
      <c r="C100" s="63" t="s">
        <v>518</v>
      </c>
      <c r="D100" s="64">
        <v>-2306564</v>
      </c>
      <c r="E100" s="55">
        <v>0</v>
      </c>
      <c r="F100" s="64">
        <v>0</v>
      </c>
      <c r="G100" s="64">
        <v>-2306564</v>
      </c>
      <c r="H100" s="53"/>
    </row>
    <row r="101" spans="1:8">
      <c r="A101" s="53"/>
      <c r="B101" s="74" t="s">
        <v>156</v>
      </c>
      <c r="C101" s="63" t="s">
        <v>42</v>
      </c>
      <c r="D101" s="64">
        <v>-2306564</v>
      </c>
      <c r="E101" s="55">
        <v>0</v>
      </c>
      <c r="F101" s="64">
        <v>0</v>
      </c>
      <c r="G101" s="64">
        <v>-2306564</v>
      </c>
      <c r="H101" s="53"/>
    </row>
    <row r="102" spans="1:8" ht="18">
      <c r="A102" s="53"/>
      <c r="B102" s="74" t="s">
        <v>709</v>
      </c>
      <c r="C102" s="63" t="s">
        <v>519</v>
      </c>
      <c r="D102" s="64">
        <v>-2306564</v>
      </c>
      <c r="E102" s="55">
        <v>0</v>
      </c>
      <c r="F102" s="64">
        <v>0</v>
      </c>
      <c r="G102" s="64">
        <v>-2306564</v>
      </c>
      <c r="H102" s="53"/>
    </row>
    <row r="103" spans="1:8">
      <c r="A103" s="53"/>
      <c r="B103" s="74" t="s">
        <v>167</v>
      </c>
      <c r="C103" s="63" t="s">
        <v>421</v>
      </c>
      <c r="D103" s="64">
        <v>-8608176</v>
      </c>
      <c r="E103" s="55">
        <v>1212472</v>
      </c>
      <c r="F103" s="64">
        <v>1212472</v>
      </c>
      <c r="G103" s="64">
        <v>-8608176</v>
      </c>
      <c r="H103" s="53"/>
    </row>
    <row r="104" spans="1:8">
      <c r="A104" s="53"/>
      <c r="B104" s="74" t="s">
        <v>422</v>
      </c>
      <c r="C104" s="63" t="s">
        <v>423</v>
      </c>
      <c r="D104" s="64">
        <v>-8608176</v>
      </c>
      <c r="E104" s="55">
        <v>1212472</v>
      </c>
      <c r="F104" s="64">
        <v>1212472</v>
      </c>
      <c r="G104" s="64">
        <v>-8608176</v>
      </c>
      <c r="H104" s="53"/>
    </row>
    <row r="105" spans="1:8">
      <c r="A105" s="53"/>
      <c r="B105" s="74" t="s">
        <v>424</v>
      </c>
      <c r="C105" s="63" t="s">
        <v>425</v>
      </c>
      <c r="D105" s="64">
        <v>-8608176</v>
      </c>
      <c r="E105" s="55">
        <v>1212472</v>
      </c>
      <c r="F105" s="64">
        <v>1212472</v>
      </c>
      <c r="G105" s="64">
        <v>-8608176</v>
      </c>
      <c r="H105" s="53"/>
    </row>
    <row r="106" spans="1:8">
      <c r="A106" s="53"/>
      <c r="B106" s="74" t="s">
        <v>183</v>
      </c>
      <c r="C106" s="63" t="s">
        <v>43</v>
      </c>
      <c r="D106" s="64">
        <v>-745092</v>
      </c>
      <c r="E106" s="55">
        <v>0</v>
      </c>
      <c r="F106" s="64">
        <v>0</v>
      </c>
      <c r="G106" s="64">
        <v>-745092</v>
      </c>
      <c r="H106" s="53"/>
    </row>
    <row r="107" spans="1:8">
      <c r="A107" s="53"/>
      <c r="B107" s="74" t="s">
        <v>184</v>
      </c>
      <c r="C107" s="63" t="s">
        <v>44</v>
      </c>
      <c r="D107" s="64">
        <v>63738</v>
      </c>
      <c r="E107" s="55">
        <v>574367</v>
      </c>
      <c r="F107" s="64">
        <v>638105</v>
      </c>
      <c r="G107" s="64">
        <v>0</v>
      </c>
      <c r="H107" s="53"/>
    </row>
    <row r="108" spans="1:8">
      <c r="A108" s="53"/>
      <c r="B108" s="74" t="s">
        <v>185</v>
      </c>
      <c r="C108" s="63" t="s">
        <v>45</v>
      </c>
      <c r="D108" s="64">
        <v>-7926822</v>
      </c>
      <c r="E108" s="55">
        <v>638105</v>
      </c>
      <c r="F108" s="64">
        <v>574367</v>
      </c>
      <c r="G108" s="64">
        <v>-7863084</v>
      </c>
      <c r="H108" s="53"/>
    </row>
    <row r="109" spans="1:8">
      <c r="A109" s="53"/>
      <c r="B109" s="74" t="s">
        <v>145</v>
      </c>
      <c r="C109" s="63" t="s">
        <v>3</v>
      </c>
      <c r="D109" s="64">
        <v>0</v>
      </c>
      <c r="E109" s="55">
        <v>0</v>
      </c>
      <c r="F109" s="64">
        <v>2019919</v>
      </c>
      <c r="G109" s="64">
        <v>-2019919</v>
      </c>
      <c r="H109" s="53"/>
    </row>
    <row r="110" spans="1:8">
      <c r="A110" s="53"/>
      <c r="B110" s="74" t="s">
        <v>298</v>
      </c>
      <c r="C110" s="63" t="s">
        <v>362</v>
      </c>
      <c r="D110" s="64">
        <v>0</v>
      </c>
      <c r="E110" s="55">
        <v>0</v>
      </c>
      <c r="F110" s="64">
        <v>2002920</v>
      </c>
      <c r="G110" s="64">
        <v>-2002920</v>
      </c>
      <c r="H110" s="53"/>
    </row>
    <row r="111" spans="1:8">
      <c r="A111" s="53"/>
      <c r="B111" s="74" t="s">
        <v>121</v>
      </c>
      <c r="C111" s="63" t="s">
        <v>47</v>
      </c>
      <c r="D111" s="64">
        <v>0</v>
      </c>
      <c r="E111" s="55">
        <v>0</v>
      </c>
      <c r="F111" s="64">
        <v>2002920</v>
      </c>
      <c r="G111" s="64">
        <v>-2002920</v>
      </c>
      <c r="H111" s="53"/>
    </row>
    <row r="112" spans="1:8">
      <c r="A112" s="53"/>
      <c r="B112" s="74" t="s">
        <v>299</v>
      </c>
      <c r="C112" s="63" t="s">
        <v>47</v>
      </c>
      <c r="D112" s="64">
        <v>0</v>
      </c>
      <c r="E112" s="55">
        <v>0</v>
      </c>
      <c r="F112" s="64">
        <v>2002920</v>
      </c>
      <c r="G112" s="64">
        <v>-2002920</v>
      </c>
      <c r="H112" s="53"/>
    </row>
    <row r="113" spans="1:8">
      <c r="A113" s="53"/>
      <c r="B113" s="74" t="s">
        <v>300</v>
      </c>
      <c r="C113" s="63" t="s">
        <v>363</v>
      </c>
      <c r="D113" s="64">
        <v>0</v>
      </c>
      <c r="E113" s="55">
        <v>0</v>
      </c>
      <c r="F113" s="64">
        <v>881311</v>
      </c>
      <c r="G113" s="64">
        <v>-881311</v>
      </c>
      <c r="H113" s="53"/>
    </row>
    <row r="114" spans="1:8">
      <c r="A114" s="53"/>
      <c r="B114" s="74" t="s">
        <v>301</v>
      </c>
      <c r="C114" s="63" t="s">
        <v>364</v>
      </c>
      <c r="D114" s="64">
        <v>0</v>
      </c>
      <c r="E114" s="55">
        <v>0</v>
      </c>
      <c r="F114" s="64">
        <v>1121609</v>
      </c>
      <c r="G114" s="64">
        <v>-1121609</v>
      </c>
      <c r="H114" s="53"/>
    </row>
    <row r="115" spans="1:8">
      <c r="A115" s="53"/>
      <c r="B115" s="74" t="s">
        <v>302</v>
      </c>
      <c r="C115" s="63" t="s">
        <v>48</v>
      </c>
      <c r="D115" s="64">
        <v>0</v>
      </c>
      <c r="E115" s="55">
        <v>0</v>
      </c>
      <c r="F115" s="64">
        <v>16999</v>
      </c>
      <c r="G115" s="64">
        <v>-16999</v>
      </c>
      <c r="H115" s="53"/>
    </row>
    <row r="116" spans="1:8">
      <c r="A116" s="53"/>
      <c r="B116" s="74" t="s">
        <v>128</v>
      </c>
      <c r="C116" s="63" t="s">
        <v>48</v>
      </c>
      <c r="D116" s="64">
        <v>0</v>
      </c>
      <c r="E116" s="55">
        <v>0</v>
      </c>
      <c r="F116" s="64">
        <v>16987</v>
      </c>
      <c r="G116" s="64">
        <v>-16987</v>
      </c>
      <c r="H116" s="53"/>
    </row>
    <row r="117" spans="1:8" ht="18">
      <c r="A117" s="53"/>
      <c r="B117" s="74" t="s">
        <v>563</v>
      </c>
      <c r="C117" s="63" t="s">
        <v>520</v>
      </c>
      <c r="D117" s="64">
        <v>0</v>
      </c>
      <c r="E117" s="55">
        <v>0</v>
      </c>
      <c r="F117" s="64">
        <v>13390</v>
      </c>
      <c r="G117" s="64">
        <v>-13390</v>
      </c>
      <c r="H117" s="53"/>
    </row>
    <row r="118" spans="1:8" ht="18">
      <c r="A118" s="53"/>
      <c r="B118" s="74" t="s">
        <v>564</v>
      </c>
      <c r="C118" s="63" t="s">
        <v>676</v>
      </c>
      <c r="D118" s="64">
        <v>0</v>
      </c>
      <c r="E118" s="55">
        <v>0</v>
      </c>
      <c r="F118" s="64">
        <v>13390</v>
      </c>
      <c r="G118" s="64">
        <v>-13390</v>
      </c>
      <c r="H118" s="53"/>
    </row>
    <row r="119" spans="1:8">
      <c r="A119" s="53"/>
      <c r="B119" s="74" t="s">
        <v>565</v>
      </c>
      <c r="C119" s="61" t="s">
        <v>521</v>
      </c>
      <c r="D119" s="62">
        <v>0</v>
      </c>
      <c r="E119" s="55">
        <v>0</v>
      </c>
      <c r="F119" s="62">
        <v>3597</v>
      </c>
      <c r="G119" s="62">
        <v>-3597</v>
      </c>
      <c r="H119" s="53"/>
    </row>
    <row r="120" spans="1:8">
      <c r="A120" s="53"/>
      <c r="B120" s="74" t="s">
        <v>566</v>
      </c>
      <c r="C120" s="63" t="s">
        <v>522</v>
      </c>
      <c r="D120" s="64">
        <v>0</v>
      </c>
      <c r="E120" s="55">
        <v>0</v>
      </c>
      <c r="F120" s="64">
        <v>3597</v>
      </c>
      <c r="G120" s="64">
        <v>-3597</v>
      </c>
      <c r="H120" s="53"/>
    </row>
    <row r="121" spans="1:8">
      <c r="A121" s="53"/>
      <c r="B121" s="74" t="s">
        <v>303</v>
      </c>
      <c r="C121" s="63" t="s">
        <v>49</v>
      </c>
      <c r="D121" s="64">
        <v>0</v>
      </c>
      <c r="E121" s="55">
        <v>0</v>
      </c>
      <c r="F121" s="64">
        <v>12</v>
      </c>
      <c r="G121" s="64">
        <v>-12</v>
      </c>
      <c r="H121" s="53"/>
    </row>
    <row r="122" spans="1:8" ht="18">
      <c r="A122" s="53"/>
      <c r="B122" s="74" t="s">
        <v>710</v>
      </c>
      <c r="C122" s="63" t="s">
        <v>523</v>
      </c>
      <c r="D122" s="64">
        <v>0</v>
      </c>
      <c r="E122" s="55">
        <v>0</v>
      </c>
      <c r="F122" s="64">
        <v>12</v>
      </c>
      <c r="G122" s="64">
        <v>-12</v>
      </c>
      <c r="H122" s="53"/>
    </row>
    <row r="123" spans="1:8">
      <c r="A123" s="53"/>
      <c r="B123" s="74" t="s">
        <v>146</v>
      </c>
      <c r="C123" s="63" t="s">
        <v>5</v>
      </c>
      <c r="D123" s="64">
        <v>0</v>
      </c>
      <c r="E123" s="55">
        <v>3866674</v>
      </c>
      <c r="F123" s="64">
        <v>1410</v>
      </c>
      <c r="G123" s="64">
        <v>3865265</v>
      </c>
      <c r="H123" s="53"/>
    </row>
    <row r="124" spans="1:8">
      <c r="A124" s="53"/>
      <c r="B124" s="74" t="s">
        <v>305</v>
      </c>
      <c r="C124" s="63" t="s">
        <v>51</v>
      </c>
      <c r="D124" s="64">
        <v>0</v>
      </c>
      <c r="E124" s="55">
        <v>1145212</v>
      </c>
      <c r="F124" s="64">
        <v>1410</v>
      </c>
      <c r="G124" s="64">
        <v>1143802</v>
      </c>
      <c r="H124" s="53"/>
    </row>
    <row r="125" spans="1:8">
      <c r="A125" s="53"/>
      <c r="B125" s="74" t="s">
        <v>134</v>
      </c>
      <c r="C125" s="63" t="s">
        <v>52</v>
      </c>
      <c r="D125" s="64">
        <v>0</v>
      </c>
      <c r="E125" s="55">
        <v>899114</v>
      </c>
      <c r="F125" s="64">
        <v>1142</v>
      </c>
      <c r="G125" s="64">
        <v>897972</v>
      </c>
      <c r="H125" s="53"/>
    </row>
    <row r="126" spans="1:8">
      <c r="A126" s="53"/>
      <c r="B126" s="74" t="s">
        <v>306</v>
      </c>
      <c r="C126" s="63" t="s">
        <v>53</v>
      </c>
      <c r="D126" s="64">
        <v>0</v>
      </c>
      <c r="E126" s="55">
        <v>203188</v>
      </c>
      <c r="F126" s="64">
        <v>0</v>
      </c>
      <c r="G126" s="64">
        <v>203188</v>
      </c>
      <c r="H126" s="53"/>
    </row>
    <row r="127" spans="1:8">
      <c r="A127" s="53"/>
      <c r="B127" s="74" t="s">
        <v>307</v>
      </c>
      <c r="C127" s="63" t="s">
        <v>54</v>
      </c>
      <c r="D127" s="64">
        <v>0</v>
      </c>
      <c r="E127" s="55">
        <v>169559</v>
      </c>
      <c r="F127" s="64">
        <v>0</v>
      </c>
      <c r="G127" s="64">
        <v>169559</v>
      </c>
      <c r="H127" s="53"/>
    </row>
    <row r="128" spans="1:8">
      <c r="A128" s="53"/>
      <c r="B128" s="74" t="s">
        <v>308</v>
      </c>
      <c r="C128" s="63" t="s">
        <v>55</v>
      </c>
      <c r="D128" s="64">
        <v>0</v>
      </c>
      <c r="E128" s="55">
        <v>38765</v>
      </c>
      <c r="F128" s="64">
        <v>0</v>
      </c>
      <c r="G128" s="64">
        <v>38765</v>
      </c>
      <c r="H128" s="53"/>
    </row>
    <row r="129" spans="1:8">
      <c r="A129" s="53"/>
      <c r="B129" s="74" t="s">
        <v>426</v>
      </c>
      <c r="C129" s="63" t="s">
        <v>427</v>
      </c>
      <c r="D129" s="64">
        <v>0</v>
      </c>
      <c r="E129" s="55">
        <v>2070</v>
      </c>
      <c r="F129" s="64">
        <v>0</v>
      </c>
      <c r="G129" s="64">
        <v>2070</v>
      </c>
      <c r="H129" s="53"/>
    </row>
    <row r="130" spans="1:8">
      <c r="A130" s="53"/>
      <c r="B130" s="74" t="s">
        <v>309</v>
      </c>
      <c r="C130" s="63" t="s">
        <v>56</v>
      </c>
      <c r="D130" s="64">
        <v>0</v>
      </c>
      <c r="E130" s="55">
        <v>22420</v>
      </c>
      <c r="F130" s="64">
        <v>0</v>
      </c>
      <c r="G130" s="64">
        <v>22420</v>
      </c>
      <c r="H130" s="53"/>
    </row>
    <row r="131" spans="1:8">
      <c r="A131" s="53"/>
      <c r="B131" s="74" t="s">
        <v>711</v>
      </c>
      <c r="C131" s="63" t="s">
        <v>524</v>
      </c>
      <c r="D131" s="64">
        <v>0</v>
      </c>
      <c r="E131" s="55">
        <v>2589</v>
      </c>
      <c r="F131" s="64">
        <v>0</v>
      </c>
      <c r="G131" s="64">
        <v>2589</v>
      </c>
      <c r="H131" s="53"/>
    </row>
    <row r="132" spans="1:8">
      <c r="A132" s="53"/>
      <c r="B132" s="74" t="s">
        <v>428</v>
      </c>
      <c r="C132" s="63" t="s">
        <v>525</v>
      </c>
      <c r="D132" s="64">
        <v>0</v>
      </c>
      <c r="E132" s="55">
        <v>9661</v>
      </c>
      <c r="F132" s="64">
        <v>0</v>
      </c>
      <c r="G132" s="64">
        <v>9661</v>
      </c>
      <c r="H132" s="53"/>
    </row>
    <row r="133" spans="1:8">
      <c r="A133" s="53"/>
      <c r="B133" s="74" t="s">
        <v>430</v>
      </c>
      <c r="C133" s="63" t="s">
        <v>431</v>
      </c>
      <c r="D133" s="64">
        <v>0</v>
      </c>
      <c r="E133" s="55">
        <v>1000</v>
      </c>
      <c r="F133" s="64">
        <v>0</v>
      </c>
      <c r="G133" s="64">
        <v>1000</v>
      </c>
      <c r="H133" s="53"/>
    </row>
    <row r="134" spans="1:8">
      <c r="A134" s="53"/>
      <c r="B134" s="74" t="s">
        <v>432</v>
      </c>
      <c r="C134" s="63" t="s">
        <v>433</v>
      </c>
      <c r="D134" s="64">
        <v>0</v>
      </c>
      <c r="E134" s="55">
        <v>4252</v>
      </c>
      <c r="F134" s="64">
        <v>0</v>
      </c>
      <c r="G134" s="64">
        <v>4252</v>
      </c>
      <c r="H134" s="53"/>
    </row>
    <row r="135" spans="1:8">
      <c r="A135" s="53"/>
      <c r="B135" s="74" t="s">
        <v>434</v>
      </c>
      <c r="C135" s="63" t="s">
        <v>435</v>
      </c>
      <c r="D135" s="64">
        <v>0</v>
      </c>
      <c r="E135" s="55">
        <v>23647</v>
      </c>
      <c r="F135" s="64">
        <v>0</v>
      </c>
      <c r="G135" s="64">
        <v>23647</v>
      </c>
      <c r="H135" s="53"/>
    </row>
    <row r="136" spans="1:8">
      <c r="A136" s="53"/>
      <c r="B136" s="74" t="s">
        <v>310</v>
      </c>
      <c r="C136" s="63" t="s">
        <v>57</v>
      </c>
      <c r="D136" s="64">
        <v>0</v>
      </c>
      <c r="E136" s="55">
        <v>49615</v>
      </c>
      <c r="F136" s="64">
        <v>0</v>
      </c>
      <c r="G136" s="64">
        <v>49615</v>
      </c>
      <c r="H136" s="53"/>
    </row>
    <row r="137" spans="1:8" ht="18">
      <c r="A137" s="53"/>
      <c r="B137" s="74" t="s">
        <v>436</v>
      </c>
      <c r="C137" s="63" t="s">
        <v>437</v>
      </c>
      <c r="D137" s="64">
        <v>0</v>
      </c>
      <c r="E137" s="55">
        <v>11231</v>
      </c>
      <c r="F137" s="64">
        <v>0</v>
      </c>
      <c r="G137" s="64">
        <v>11231</v>
      </c>
      <c r="H137" s="53"/>
    </row>
    <row r="138" spans="1:8">
      <c r="A138" s="53"/>
      <c r="B138" s="74" t="s">
        <v>712</v>
      </c>
      <c r="C138" s="63" t="s">
        <v>526</v>
      </c>
      <c r="D138" s="64">
        <v>0</v>
      </c>
      <c r="E138" s="55">
        <v>361</v>
      </c>
      <c r="F138" s="64">
        <v>0</v>
      </c>
      <c r="G138" s="64">
        <v>361</v>
      </c>
      <c r="H138" s="53"/>
    </row>
    <row r="139" spans="1:8">
      <c r="A139" s="53"/>
      <c r="B139" s="74" t="s">
        <v>567</v>
      </c>
      <c r="C139" s="63" t="s">
        <v>527</v>
      </c>
      <c r="D139" s="64">
        <v>0</v>
      </c>
      <c r="E139" s="55">
        <v>3948</v>
      </c>
      <c r="F139" s="64">
        <v>0</v>
      </c>
      <c r="G139" s="64">
        <v>3948</v>
      </c>
      <c r="H139" s="53"/>
    </row>
    <row r="140" spans="1:8">
      <c r="A140" s="53"/>
      <c r="B140" s="74" t="s">
        <v>311</v>
      </c>
      <c r="C140" s="61" t="s">
        <v>58</v>
      </c>
      <c r="D140" s="62">
        <v>0</v>
      </c>
      <c r="E140" s="55">
        <v>6123</v>
      </c>
      <c r="F140" s="62">
        <v>0</v>
      </c>
      <c r="G140" s="62">
        <v>6123</v>
      </c>
      <c r="H140" s="53"/>
    </row>
    <row r="141" spans="1:8">
      <c r="A141" s="53"/>
      <c r="B141" s="74" t="s">
        <v>568</v>
      </c>
      <c r="C141" s="63" t="s">
        <v>528</v>
      </c>
      <c r="D141" s="64">
        <v>0</v>
      </c>
      <c r="E141" s="55">
        <v>731</v>
      </c>
      <c r="F141" s="64">
        <v>0</v>
      </c>
      <c r="G141" s="64">
        <v>731</v>
      </c>
      <c r="H141" s="53"/>
    </row>
    <row r="142" spans="1:8">
      <c r="A142" s="53"/>
      <c r="B142" s="74" t="s">
        <v>338</v>
      </c>
      <c r="C142" s="63" t="s">
        <v>59</v>
      </c>
      <c r="D142" s="64">
        <v>0</v>
      </c>
      <c r="E142" s="55">
        <v>5392</v>
      </c>
      <c r="F142" s="64">
        <v>0</v>
      </c>
      <c r="G142" s="64">
        <v>5392</v>
      </c>
      <c r="H142" s="53"/>
    </row>
    <row r="143" spans="1:8">
      <c r="A143" s="53"/>
      <c r="B143" s="74" t="s">
        <v>312</v>
      </c>
      <c r="C143" s="63" t="s">
        <v>60</v>
      </c>
      <c r="D143" s="64">
        <v>0</v>
      </c>
      <c r="E143" s="55">
        <v>10705</v>
      </c>
      <c r="F143" s="64">
        <v>0</v>
      </c>
      <c r="G143" s="64">
        <v>10705</v>
      </c>
      <c r="H143" s="53"/>
    </row>
    <row r="144" spans="1:8">
      <c r="A144" s="53"/>
      <c r="B144" s="74" t="s">
        <v>438</v>
      </c>
      <c r="C144" s="63" t="s">
        <v>439</v>
      </c>
      <c r="D144" s="64">
        <v>0</v>
      </c>
      <c r="E144" s="55">
        <v>5690</v>
      </c>
      <c r="F144" s="64">
        <v>0</v>
      </c>
      <c r="G144" s="64">
        <v>5690</v>
      </c>
      <c r="H144" s="53"/>
    </row>
    <row r="145" spans="1:8">
      <c r="A145" s="53"/>
      <c r="B145" s="74" t="s">
        <v>569</v>
      </c>
      <c r="C145" s="63" t="s">
        <v>61</v>
      </c>
      <c r="D145" s="64">
        <v>0</v>
      </c>
      <c r="E145" s="55">
        <v>5015</v>
      </c>
      <c r="F145" s="64">
        <v>0</v>
      </c>
      <c r="G145" s="64">
        <v>5015</v>
      </c>
      <c r="H145" s="53"/>
    </row>
    <row r="146" spans="1:8">
      <c r="A146" s="53"/>
      <c r="B146" s="74" t="s">
        <v>313</v>
      </c>
      <c r="C146" s="63" t="s">
        <v>62</v>
      </c>
      <c r="D146" s="64">
        <v>0</v>
      </c>
      <c r="E146" s="55">
        <v>15977</v>
      </c>
      <c r="F146" s="64">
        <v>0</v>
      </c>
      <c r="G146" s="64">
        <v>15977</v>
      </c>
      <c r="H146" s="53"/>
    </row>
    <row r="147" spans="1:8" ht="18">
      <c r="A147" s="53"/>
      <c r="B147" s="74" t="s">
        <v>440</v>
      </c>
      <c r="C147" s="63" t="s">
        <v>441</v>
      </c>
      <c r="D147" s="64">
        <v>0</v>
      </c>
      <c r="E147" s="55">
        <v>15056</v>
      </c>
      <c r="F147" s="64">
        <v>0</v>
      </c>
      <c r="G147" s="64">
        <v>15056</v>
      </c>
      <c r="H147" s="53"/>
    </row>
    <row r="148" spans="1:8">
      <c r="A148" s="53"/>
      <c r="B148" s="74" t="s">
        <v>314</v>
      </c>
      <c r="C148" s="63" t="s">
        <v>63</v>
      </c>
      <c r="D148" s="64">
        <v>0</v>
      </c>
      <c r="E148" s="55">
        <v>921</v>
      </c>
      <c r="F148" s="64">
        <v>0</v>
      </c>
      <c r="G148" s="64">
        <v>921</v>
      </c>
      <c r="H148" s="53"/>
    </row>
    <row r="149" spans="1:8">
      <c r="A149" s="53"/>
      <c r="B149" s="74" t="s">
        <v>442</v>
      </c>
      <c r="C149" s="63" t="s">
        <v>443</v>
      </c>
      <c r="D149" s="64">
        <v>0</v>
      </c>
      <c r="E149" s="55">
        <v>823</v>
      </c>
      <c r="F149" s="64">
        <v>0</v>
      </c>
      <c r="G149" s="64">
        <v>823</v>
      </c>
      <c r="H149" s="53"/>
    </row>
    <row r="150" spans="1:8">
      <c r="A150" s="53"/>
      <c r="B150" s="74" t="s">
        <v>446</v>
      </c>
      <c r="C150" s="63" t="s">
        <v>447</v>
      </c>
      <c r="D150" s="64">
        <v>0</v>
      </c>
      <c r="E150" s="55">
        <v>580</v>
      </c>
      <c r="F150" s="64">
        <v>0</v>
      </c>
      <c r="G150" s="64">
        <v>580</v>
      </c>
      <c r="H150" s="53"/>
    </row>
    <row r="151" spans="1:8" ht="18">
      <c r="A151" s="53"/>
      <c r="B151" s="74" t="s">
        <v>571</v>
      </c>
      <c r="C151" s="63" t="s">
        <v>529</v>
      </c>
      <c r="D151" s="64">
        <v>0</v>
      </c>
      <c r="E151" s="55">
        <v>243</v>
      </c>
      <c r="F151" s="64">
        <v>0</v>
      </c>
      <c r="G151" s="64">
        <v>243</v>
      </c>
      <c r="H151" s="53"/>
    </row>
    <row r="152" spans="1:8">
      <c r="A152" s="53"/>
      <c r="B152" s="74" t="s">
        <v>316</v>
      </c>
      <c r="C152" s="63" t="s">
        <v>254</v>
      </c>
      <c r="D152" s="64">
        <v>0</v>
      </c>
      <c r="E152" s="55">
        <v>575120</v>
      </c>
      <c r="F152" s="64">
        <v>1142</v>
      </c>
      <c r="G152" s="64">
        <v>573978</v>
      </c>
      <c r="H152" s="53"/>
    </row>
    <row r="153" spans="1:8">
      <c r="A153" s="53"/>
      <c r="B153" s="74" t="s">
        <v>450</v>
      </c>
      <c r="C153" s="63" t="s">
        <v>54</v>
      </c>
      <c r="D153" s="64">
        <v>0</v>
      </c>
      <c r="E153" s="55">
        <v>513287</v>
      </c>
      <c r="F153" s="64">
        <v>1142</v>
      </c>
      <c r="G153" s="64">
        <v>512145</v>
      </c>
      <c r="H153" s="53"/>
    </row>
    <row r="154" spans="1:8">
      <c r="A154" s="53"/>
      <c r="B154" s="74" t="s">
        <v>451</v>
      </c>
      <c r="C154" s="63" t="s">
        <v>55</v>
      </c>
      <c r="D154" s="64">
        <v>0</v>
      </c>
      <c r="E154" s="55">
        <v>122897</v>
      </c>
      <c r="F154" s="64">
        <v>348</v>
      </c>
      <c r="G154" s="64">
        <v>122549</v>
      </c>
      <c r="H154" s="53"/>
    </row>
    <row r="155" spans="1:8">
      <c r="A155" s="53"/>
      <c r="B155" s="74" t="s">
        <v>452</v>
      </c>
      <c r="C155" s="63" t="s">
        <v>427</v>
      </c>
      <c r="D155" s="64">
        <v>0</v>
      </c>
      <c r="E155" s="55">
        <v>1892</v>
      </c>
      <c r="F155" s="64">
        <v>0</v>
      </c>
      <c r="G155" s="64">
        <v>1892</v>
      </c>
      <c r="H155" s="53"/>
    </row>
    <row r="156" spans="1:8">
      <c r="A156" s="53"/>
      <c r="B156" s="74" t="s">
        <v>453</v>
      </c>
      <c r="C156" s="63" t="s">
        <v>56</v>
      </c>
      <c r="D156" s="64">
        <v>0</v>
      </c>
      <c r="E156" s="55">
        <v>71326</v>
      </c>
      <c r="F156" s="64">
        <v>267</v>
      </c>
      <c r="G156" s="64">
        <v>71059</v>
      </c>
      <c r="H156" s="53"/>
    </row>
    <row r="157" spans="1:8">
      <c r="A157" s="53"/>
      <c r="B157" s="74" t="s">
        <v>713</v>
      </c>
      <c r="C157" s="63" t="s">
        <v>524</v>
      </c>
      <c r="D157" s="64">
        <v>0</v>
      </c>
      <c r="E157" s="55">
        <v>16113</v>
      </c>
      <c r="F157" s="64">
        <v>146</v>
      </c>
      <c r="G157" s="64">
        <v>15966</v>
      </c>
      <c r="H157" s="53"/>
    </row>
    <row r="158" spans="1:8">
      <c r="A158" s="53"/>
      <c r="B158" s="74" t="s">
        <v>572</v>
      </c>
      <c r="C158" s="63" t="s">
        <v>530</v>
      </c>
      <c r="D158" s="64">
        <v>0</v>
      </c>
      <c r="E158" s="55">
        <v>1567</v>
      </c>
      <c r="F158" s="64">
        <v>0</v>
      </c>
      <c r="G158" s="64">
        <v>1567</v>
      </c>
      <c r="H158" s="53"/>
    </row>
    <row r="159" spans="1:8">
      <c r="A159" s="53"/>
      <c r="B159" s="74" t="s">
        <v>573</v>
      </c>
      <c r="C159" s="63" t="s">
        <v>435</v>
      </c>
      <c r="D159" s="64">
        <v>0</v>
      </c>
      <c r="E159" s="55">
        <v>81143</v>
      </c>
      <c r="F159" s="64">
        <v>246</v>
      </c>
      <c r="G159" s="64">
        <v>80897</v>
      </c>
      <c r="H159" s="53"/>
    </row>
    <row r="160" spans="1:8">
      <c r="A160" s="53"/>
      <c r="B160" s="74" t="s">
        <v>454</v>
      </c>
      <c r="C160" s="63" t="s">
        <v>57</v>
      </c>
      <c r="D160" s="64">
        <v>0</v>
      </c>
      <c r="E160" s="55">
        <v>182154</v>
      </c>
      <c r="F160" s="64">
        <v>134</v>
      </c>
      <c r="G160" s="64">
        <v>182020</v>
      </c>
      <c r="H160" s="53"/>
    </row>
    <row r="161" spans="1:8" ht="18">
      <c r="A161" s="53"/>
      <c r="B161" s="74" t="s">
        <v>455</v>
      </c>
      <c r="C161" s="61" t="s">
        <v>437</v>
      </c>
      <c r="D161" s="62">
        <v>0</v>
      </c>
      <c r="E161" s="55">
        <v>33550</v>
      </c>
      <c r="F161" s="62">
        <v>0</v>
      </c>
      <c r="G161" s="62">
        <v>33550</v>
      </c>
      <c r="H161" s="53"/>
    </row>
    <row r="162" spans="1:8">
      <c r="A162" s="53"/>
      <c r="B162" s="74" t="s">
        <v>714</v>
      </c>
      <c r="C162" s="63" t="s">
        <v>526</v>
      </c>
      <c r="D162" s="64">
        <v>0</v>
      </c>
      <c r="E162" s="55">
        <v>2643</v>
      </c>
      <c r="F162" s="64">
        <v>0</v>
      </c>
      <c r="G162" s="64">
        <v>2643</v>
      </c>
      <c r="H162" s="53"/>
    </row>
    <row r="163" spans="1:8">
      <c r="A163" s="53"/>
      <c r="B163" s="74" t="s">
        <v>456</v>
      </c>
      <c r="C163" s="63" t="s">
        <v>58</v>
      </c>
      <c r="D163" s="64">
        <v>0</v>
      </c>
      <c r="E163" s="55">
        <v>20776</v>
      </c>
      <c r="F163" s="64">
        <v>0</v>
      </c>
      <c r="G163" s="64">
        <v>20776</v>
      </c>
      <c r="H163" s="53"/>
    </row>
    <row r="164" spans="1:8">
      <c r="A164" s="53"/>
      <c r="B164" s="74" t="s">
        <v>574</v>
      </c>
      <c r="C164" s="63" t="s">
        <v>528</v>
      </c>
      <c r="D164" s="64">
        <v>0</v>
      </c>
      <c r="E164" s="55">
        <v>1823</v>
      </c>
      <c r="F164" s="64">
        <v>0</v>
      </c>
      <c r="G164" s="64">
        <v>1823</v>
      </c>
      <c r="H164" s="53"/>
    </row>
    <row r="165" spans="1:8">
      <c r="A165" s="53"/>
      <c r="B165" s="74" t="s">
        <v>457</v>
      </c>
      <c r="C165" s="63" t="s">
        <v>59</v>
      </c>
      <c r="D165" s="64">
        <v>0</v>
      </c>
      <c r="E165" s="55">
        <v>18953</v>
      </c>
      <c r="F165" s="64">
        <v>0</v>
      </c>
      <c r="G165" s="64">
        <v>18953</v>
      </c>
      <c r="H165" s="53"/>
    </row>
    <row r="166" spans="1:8">
      <c r="A166" s="53"/>
      <c r="B166" s="74" t="s">
        <v>458</v>
      </c>
      <c r="C166" s="63" t="s">
        <v>60</v>
      </c>
      <c r="D166" s="64">
        <v>0</v>
      </c>
      <c r="E166" s="55">
        <v>32138</v>
      </c>
      <c r="F166" s="64">
        <v>0</v>
      </c>
      <c r="G166" s="64">
        <v>32138</v>
      </c>
      <c r="H166" s="53"/>
    </row>
    <row r="167" spans="1:8">
      <c r="A167" s="53"/>
      <c r="B167" s="74" t="s">
        <v>459</v>
      </c>
      <c r="C167" s="63" t="s">
        <v>439</v>
      </c>
      <c r="D167" s="64">
        <v>0</v>
      </c>
      <c r="E167" s="55">
        <v>16999</v>
      </c>
      <c r="F167" s="64">
        <v>0</v>
      </c>
      <c r="G167" s="64">
        <v>16999</v>
      </c>
      <c r="H167" s="53"/>
    </row>
    <row r="168" spans="1:8">
      <c r="A168" s="53"/>
      <c r="B168" s="74" t="s">
        <v>575</v>
      </c>
      <c r="C168" s="63" t="s">
        <v>61</v>
      </c>
      <c r="D168" s="64">
        <v>0</v>
      </c>
      <c r="E168" s="55">
        <v>15139</v>
      </c>
      <c r="F168" s="64">
        <v>0</v>
      </c>
      <c r="G168" s="64">
        <v>15139</v>
      </c>
      <c r="H168" s="53"/>
    </row>
    <row r="169" spans="1:8">
      <c r="A169" s="53"/>
      <c r="B169" s="74" t="s">
        <v>317</v>
      </c>
      <c r="C169" s="63" t="s">
        <v>62</v>
      </c>
      <c r="D169" s="64">
        <v>0</v>
      </c>
      <c r="E169" s="55">
        <v>8031</v>
      </c>
      <c r="F169" s="64">
        <v>0</v>
      </c>
      <c r="G169" s="64">
        <v>8031</v>
      </c>
      <c r="H169" s="53"/>
    </row>
    <row r="170" spans="1:8" ht="18">
      <c r="A170" s="53"/>
      <c r="B170" s="74" t="s">
        <v>715</v>
      </c>
      <c r="C170" s="63" t="s">
        <v>441</v>
      </c>
      <c r="D170" s="64">
        <v>0</v>
      </c>
      <c r="E170" s="55">
        <v>1505</v>
      </c>
      <c r="F170" s="64">
        <v>0</v>
      </c>
      <c r="G170" s="64">
        <v>1505</v>
      </c>
      <c r="H170" s="53"/>
    </row>
    <row r="171" spans="1:8">
      <c r="A171" s="53"/>
      <c r="B171" s="74" t="s">
        <v>576</v>
      </c>
      <c r="C171" s="63" t="s">
        <v>531</v>
      </c>
      <c r="D171" s="64">
        <v>0</v>
      </c>
      <c r="E171" s="55">
        <v>3130</v>
      </c>
      <c r="F171" s="64">
        <v>0</v>
      </c>
      <c r="G171" s="64">
        <v>3130</v>
      </c>
      <c r="H171" s="53"/>
    </row>
    <row r="172" spans="1:8">
      <c r="A172" s="53"/>
      <c r="B172" s="74" t="s">
        <v>318</v>
      </c>
      <c r="C172" s="63" t="s">
        <v>63</v>
      </c>
      <c r="D172" s="64">
        <v>0</v>
      </c>
      <c r="E172" s="55">
        <v>3396</v>
      </c>
      <c r="F172" s="64">
        <v>0</v>
      </c>
      <c r="G172" s="64">
        <v>3396</v>
      </c>
      <c r="H172" s="53"/>
    </row>
    <row r="173" spans="1:8">
      <c r="A173" s="53"/>
      <c r="B173" s="74" t="s">
        <v>460</v>
      </c>
      <c r="C173" s="63" t="s">
        <v>443</v>
      </c>
      <c r="D173" s="64">
        <v>0</v>
      </c>
      <c r="E173" s="55">
        <v>888</v>
      </c>
      <c r="F173" s="64">
        <v>0</v>
      </c>
      <c r="G173" s="64">
        <v>888</v>
      </c>
      <c r="H173" s="53"/>
    </row>
    <row r="174" spans="1:8">
      <c r="A174" s="53"/>
      <c r="B174" s="74" t="s">
        <v>462</v>
      </c>
      <c r="C174" s="63" t="s">
        <v>447</v>
      </c>
      <c r="D174" s="64">
        <v>0</v>
      </c>
      <c r="E174" s="55">
        <v>712</v>
      </c>
      <c r="F174" s="64">
        <v>0</v>
      </c>
      <c r="G174" s="64">
        <v>712</v>
      </c>
      <c r="H174" s="53"/>
    </row>
    <row r="175" spans="1:8" ht="18">
      <c r="A175" s="53"/>
      <c r="B175" s="74" t="s">
        <v>577</v>
      </c>
      <c r="C175" s="63" t="s">
        <v>529</v>
      </c>
      <c r="D175" s="64">
        <v>0</v>
      </c>
      <c r="E175" s="55">
        <v>176</v>
      </c>
      <c r="F175" s="64">
        <v>0</v>
      </c>
      <c r="G175" s="64">
        <v>176</v>
      </c>
      <c r="H175" s="53"/>
    </row>
    <row r="176" spans="1:8">
      <c r="A176" s="53"/>
      <c r="B176" s="74" t="s">
        <v>319</v>
      </c>
      <c r="C176" s="63" t="s">
        <v>65</v>
      </c>
      <c r="D176" s="64">
        <v>0</v>
      </c>
      <c r="E176" s="55">
        <v>120805</v>
      </c>
      <c r="F176" s="64">
        <v>0</v>
      </c>
      <c r="G176" s="64">
        <v>120805</v>
      </c>
      <c r="H176" s="53"/>
    </row>
    <row r="177" spans="1:8" ht="18">
      <c r="A177" s="53"/>
      <c r="B177" s="74" t="s">
        <v>320</v>
      </c>
      <c r="C177" s="63" t="s">
        <v>66</v>
      </c>
      <c r="D177" s="64">
        <v>0</v>
      </c>
      <c r="E177" s="55">
        <v>119664</v>
      </c>
      <c r="F177" s="64">
        <v>0</v>
      </c>
      <c r="G177" s="64">
        <v>119664</v>
      </c>
      <c r="H177" s="53"/>
    </row>
    <row r="178" spans="1:8">
      <c r="A178" s="53"/>
      <c r="B178" s="74" t="s">
        <v>578</v>
      </c>
      <c r="C178" s="63" t="s">
        <v>532</v>
      </c>
      <c r="D178" s="64">
        <v>0</v>
      </c>
      <c r="E178" s="55">
        <v>1081</v>
      </c>
      <c r="F178" s="64">
        <v>0</v>
      </c>
      <c r="G178" s="64">
        <v>1081</v>
      </c>
      <c r="H178" s="53"/>
    </row>
    <row r="179" spans="1:8">
      <c r="A179" s="53"/>
      <c r="B179" s="74" t="s">
        <v>716</v>
      </c>
      <c r="C179" s="63" t="s">
        <v>273</v>
      </c>
      <c r="D179" s="64">
        <v>0</v>
      </c>
      <c r="E179" s="55">
        <v>60</v>
      </c>
      <c r="F179" s="64">
        <v>0</v>
      </c>
      <c r="G179" s="64">
        <v>60</v>
      </c>
      <c r="H179" s="53"/>
    </row>
    <row r="180" spans="1:8">
      <c r="A180" s="53"/>
      <c r="B180" s="74" t="s">
        <v>321</v>
      </c>
      <c r="C180" s="63" t="s">
        <v>67</v>
      </c>
      <c r="D180" s="64">
        <v>0</v>
      </c>
      <c r="E180" s="55">
        <v>246098</v>
      </c>
      <c r="F180" s="64">
        <v>268</v>
      </c>
      <c r="G180" s="64">
        <v>245831</v>
      </c>
      <c r="H180" s="53"/>
    </row>
    <row r="181" spans="1:8">
      <c r="A181" s="53"/>
      <c r="B181" s="74" t="s">
        <v>322</v>
      </c>
      <c r="C181" s="63" t="s">
        <v>68</v>
      </c>
      <c r="D181" s="64">
        <v>0</v>
      </c>
      <c r="E181" s="55">
        <v>1275</v>
      </c>
      <c r="F181" s="64">
        <v>0</v>
      </c>
      <c r="G181" s="64">
        <v>1275</v>
      </c>
      <c r="H181" s="53"/>
    </row>
    <row r="182" spans="1:8" ht="18">
      <c r="A182" s="53"/>
      <c r="B182" s="74" t="s">
        <v>323</v>
      </c>
      <c r="C182" s="61" t="s">
        <v>69</v>
      </c>
      <c r="D182" s="62">
        <v>0</v>
      </c>
      <c r="E182" s="55">
        <v>1085</v>
      </c>
      <c r="F182" s="62">
        <v>0</v>
      </c>
      <c r="G182" s="62">
        <v>1085</v>
      </c>
      <c r="H182" s="53"/>
    </row>
    <row r="183" spans="1:8">
      <c r="A183" s="53"/>
      <c r="B183" s="74" t="s">
        <v>717</v>
      </c>
      <c r="C183" s="63" t="s">
        <v>274</v>
      </c>
      <c r="D183" s="64">
        <v>0</v>
      </c>
      <c r="E183" s="55">
        <v>190</v>
      </c>
      <c r="F183" s="64">
        <v>0</v>
      </c>
      <c r="G183" s="64">
        <v>190</v>
      </c>
      <c r="H183" s="53"/>
    </row>
    <row r="184" spans="1:8">
      <c r="A184" s="53"/>
      <c r="B184" s="74" t="s">
        <v>324</v>
      </c>
      <c r="C184" s="63" t="s">
        <v>70</v>
      </c>
      <c r="D184" s="64">
        <v>0</v>
      </c>
      <c r="E184" s="55">
        <v>4074</v>
      </c>
      <c r="F184" s="64">
        <v>0</v>
      </c>
      <c r="G184" s="64">
        <v>4074</v>
      </c>
      <c r="H184" s="53"/>
    </row>
    <row r="185" spans="1:8">
      <c r="A185" s="53"/>
      <c r="B185" s="74" t="s">
        <v>325</v>
      </c>
      <c r="C185" s="63" t="s">
        <v>71</v>
      </c>
      <c r="D185" s="64">
        <v>0</v>
      </c>
      <c r="E185" s="55">
        <v>3836</v>
      </c>
      <c r="F185" s="64">
        <v>0</v>
      </c>
      <c r="G185" s="64">
        <v>3836</v>
      </c>
      <c r="H185" s="53"/>
    </row>
    <row r="186" spans="1:8">
      <c r="A186" s="53"/>
      <c r="B186" s="74" t="s">
        <v>718</v>
      </c>
      <c r="C186" s="63" t="s">
        <v>533</v>
      </c>
      <c r="D186" s="64">
        <v>0</v>
      </c>
      <c r="E186" s="55">
        <v>238</v>
      </c>
      <c r="F186" s="64">
        <v>0</v>
      </c>
      <c r="G186" s="64">
        <v>238</v>
      </c>
      <c r="H186" s="53"/>
    </row>
    <row r="187" spans="1:8">
      <c r="A187" s="53"/>
      <c r="B187" s="74" t="s">
        <v>326</v>
      </c>
      <c r="C187" s="63" t="s">
        <v>20</v>
      </c>
      <c r="D187" s="64">
        <v>0</v>
      </c>
      <c r="E187" s="55">
        <v>19729</v>
      </c>
      <c r="F187" s="64">
        <v>0</v>
      </c>
      <c r="G187" s="64">
        <v>19729</v>
      </c>
      <c r="H187" s="53"/>
    </row>
    <row r="188" spans="1:8">
      <c r="A188" s="53"/>
      <c r="B188" s="74" t="s">
        <v>327</v>
      </c>
      <c r="C188" s="63" t="s">
        <v>21</v>
      </c>
      <c r="D188" s="64">
        <v>0</v>
      </c>
      <c r="E188" s="55">
        <v>7595</v>
      </c>
      <c r="F188" s="64">
        <v>0</v>
      </c>
      <c r="G188" s="64">
        <v>7595</v>
      </c>
      <c r="H188" s="53"/>
    </row>
    <row r="189" spans="1:8">
      <c r="A189" s="53"/>
      <c r="B189" s="74" t="s">
        <v>719</v>
      </c>
      <c r="C189" s="63" t="s">
        <v>72</v>
      </c>
      <c r="D189" s="64">
        <v>0</v>
      </c>
      <c r="E189" s="55">
        <v>3795</v>
      </c>
      <c r="F189" s="64">
        <v>0</v>
      </c>
      <c r="G189" s="64">
        <v>3795</v>
      </c>
      <c r="H189" s="53"/>
    </row>
    <row r="190" spans="1:8">
      <c r="A190" s="53"/>
      <c r="B190" s="74" t="s">
        <v>328</v>
      </c>
      <c r="C190" s="63" t="s">
        <v>73</v>
      </c>
      <c r="D190" s="64">
        <v>0</v>
      </c>
      <c r="E190" s="55">
        <v>3821</v>
      </c>
      <c r="F190" s="64">
        <v>0</v>
      </c>
      <c r="G190" s="64">
        <v>3821</v>
      </c>
      <c r="H190" s="53"/>
    </row>
    <row r="191" spans="1:8" ht="18">
      <c r="A191" s="53"/>
      <c r="B191" s="74" t="s">
        <v>329</v>
      </c>
      <c r="C191" s="63" t="s">
        <v>74</v>
      </c>
      <c r="D191" s="64">
        <v>0</v>
      </c>
      <c r="E191" s="55">
        <v>4089</v>
      </c>
      <c r="F191" s="64">
        <v>0</v>
      </c>
      <c r="G191" s="64">
        <v>4089</v>
      </c>
      <c r="H191" s="53"/>
    </row>
    <row r="192" spans="1:8" ht="18">
      <c r="A192" s="53"/>
      <c r="B192" s="74" t="s">
        <v>581</v>
      </c>
      <c r="C192" s="63" t="s">
        <v>222</v>
      </c>
      <c r="D192" s="64">
        <v>0</v>
      </c>
      <c r="E192" s="55">
        <v>17</v>
      </c>
      <c r="F192" s="64">
        <v>0</v>
      </c>
      <c r="G192" s="64">
        <v>17</v>
      </c>
      <c r="H192" s="53"/>
    </row>
    <row r="193" spans="1:8">
      <c r="A193" s="53"/>
      <c r="B193" s="74" t="s">
        <v>330</v>
      </c>
      <c r="C193" s="63" t="s">
        <v>223</v>
      </c>
      <c r="D193" s="64">
        <v>0</v>
      </c>
      <c r="E193" s="55">
        <v>401</v>
      </c>
      <c r="F193" s="64">
        <v>0</v>
      </c>
      <c r="G193" s="64">
        <v>401</v>
      </c>
      <c r="H193" s="53"/>
    </row>
    <row r="194" spans="1:8">
      <c r="A194" s="53"/>
      <c r="B194" s="74" t="s">
        <v>331</v>
      </c>
      <c r="C194" s="63" t="s">
        <v>75</v>
      </c>
      <c r="D194" s="64">
        <v>0</v>
      </c>
      <c r="E194" s="55">
        <v>12</v>
      </c>
      <c r="F194" s="64">
        <v>0</v>
      </c>
      <c r="G194" s="64">
        <v>12</v>
      </c>
      <c r="H194" s="53"/>
    </row>
    <row r="195" spans="1:8">
      <c r="A195" s="53"/>
      <c r="B195" s="74" t="s">
        <v>332</v>
      </c>
      <c r="C195" s="63" t="s">
        <v>76</v>
      </c>
      <c r="D195" s="64">
        <v>0</v>
      </c>
      <c r="E195" s="55">
        <v>55569</v>
      </c>
      <c r="F195" s="64">
        <v>0</v>
      </c>
      <c r="G195" s="64">
        <v>55569</v>
      </c>
      <c r="H195" s="53"/>
    </row>
    <row r="196" spans="1:8">
      <c r="A196" s="53"/>
      <c r="B196" s="74" t="s">
        <v>340</v>
      </c>
      <c r="C196" s="63" t="s">
        <v>77</v>
      </c>
      <c r="D196" s="64">
        <v>0</v>
      </c>
      <c r="E196" s="55">
        <v>8450</v>
      </c>
      <c r="F196" s="64">
        <v>0</v>
      </c>
      <c r="G196" s="64">
        <v>8450</v>
      </c>
      <c r="H196" s="53"/>
    </row>
    <row r="197" spans="1:8">
      <c r="A197" s="53"/>
      <c r="B197" s="74" t="s">
        <v>373</v>
      </c>
      <c r="C197" s="63" t="s">
        <v>365</v>
      </c>
      <c r="D197" s="64">
        <v>0</v>
      </c>
      <c r="E197" s="55">
        <v>859</v>
      </c>
      <c r="F197" s="64">
        <v>0</v>
      </c>
      <c r="G197" s="64">
        <v>859</v>
      </c>
      <c r="H197" s="53"/>
    </row>
    <row r="198" spans="1:8">
      <c r="A198" s="53"/>
      <c r="B198" s="74" t="s">
        <v>582</v>
      </c>
      <c r="C198" s="63" t="s">
        <v>366</v>
      </c>
      <c r="D198" s="64">
        <v>0</v>
      </c>
      <c r="E198" s="55">
        <v>438</v>
      </c>
      <c r="F198" s="64">
        <v>0</v>
      </c>
      <c r="G198" s="64">
        <v>438</v>
      </c>
      <c r="H198" s="53"/>
    </row>
    <row r="199" spans="1:8">
      <c r="A199" s="53"/>
      <c r="B199" s="74" t="s">
        <v>583</v>
      </c>
      <c r="C199" s="63" t="s">
        <v>78</v>
      </c>
      <c r="D199" s="64">
        <v>0</v>
      </c>
      <c r="E199" s="55">
        <v>14804</v>
      </c>
      <c r="F199" s="64">
        <v>0</v>
      </c>
      <c r="G199" s="64">
        <v>14804</v>
      </c>
      <c r="H199" s="53"/>
    </row>
    <row r="200" spans="1:8">
      <c r="A200" s="53"/>
      <c r="B200" s="74" t="s">
        <v>333</v>
      </c>
      <c r="C200" s="63" t="s">
        <v>79</v>
      </c>
      <c r="D200" s="64">
        <v>0</v>
      </c>
      <c r="E200" s="55">
        <v>9837</v>
      </c>
      <c r="F200" s="64">
        <v>0</v>
      </c>
      <c r="G200" s="64">
        <v>9837</v>
      </c>
      <c r="H200" s="53"/>
    </row>
    <row r="201" spans="1:8">
      <c r="A201" s="53"/>
      <c r="B201" s="74" t="s">
        <v>334</v>
      </c>
      <c r="C201" s="63" t="s">
        <v>80</v>
      </c>
      <c r="D201" s="64">
        <v>0</v>
      </c>
      <c r="E201" s="55">
        <v>8135</v>
      </c>
      <c r="F201" s="64">
        <v>0</v>
      </c>
      <c r="G201" s="64">
        <v>8135</v>
      </c>
      <c r="H201" s="53"/>
    </row>
    <row r="202" spans="1:8">
      <c r="A202" s="53"/>
      <c r="B202" s="74" t="s">
        <v>374</v>
      </c>
      <c r="C202" s="63" t="s">
        <v>367</v>
      </c>
      <c r="D202" s="64">
        <v>0</v>
      </c>
      <c r="E202" s="55">
        <v>11439</v>
      </c>
      <c r="F202" s="64">
        <v>0</v>
      </c>
      <c r="G202" s="64">
        <v>11439</v>
      </c>
      <c r="H202" s="53"/>
    </row>
    <row r="203" spans="1:8">
      <c r="A203" s="53"/>
      <c r="B203" s="74" t="s">
        <v>335</v>
      </c>
      <c r="C203" s="61" t="s">
        <v>81</v>
      </c>
      <c r="D203" s="62">
        <v>0</v>
      </c>
      <c r="E203" s="55">
        <v>1607</v>
      </c>
      <c r="F203" s="62">
        <v>0</v>
      </c>
      <c r="G203" s="62">
        <v>1607</v>
      </c>
      <c r="H203" s="53"/>
    </row>
    <row r="204" spans="1:8">
      <c r="A204" s="53"/>
      <c r="B204" s="74" t="s">
        <v>336</v>
      </c>
      <c r="C204" s="63" t="s">
        <v>82</v>
      </c>
      <c r="D204" s="64">
        <v>0</v>
      </c>
      <c r="E204" s="55">
        <v>22378</v>
      </c>
      <c r="F204" s="64">
        <v>0</v>
      </c>
      <c r="G204" s="64">
        <v>22378</v>
      </c>
      <c r="H204" s="53"/>
    </row>
    <row r="205" spans="1:8" ht="18">
      <c r="A205" s="53"/>
      <c r="B205" s="74" t="s">
        <v>172</v>
      </c>
      <c r="C205" s="63" t="s">
        <v>83</v>
      </c>
      <c r="D205" s="64">
        <v>0</v>
      </c>
      <c r="E205" s="55">
        <v>18933</v>
      </c>
      <c r="F205" s="64">
        <v>0</v>
      </c>
      <c r="G205" s="64">
        <v>18933</v>
      </c>
      <c r="H205" s="53"/>
    </row>
    <row r="206" spans="1:8" ht="18">
      <c r="A206" s="53"/>
      <c r="B206" s="74" t="s">
        <v>197</v>
      </c>
      <c r="C206" s="63" t="s">
        <v>84</v>
      </c>
      <c r="D206" s="64">
        <v>0</v>
      </c>
      <c r="E206" s="55">
        <v>433</v>
      </c>
      <c r="F206" s="64">
        <v>0</v>
      </c>
      <c r="G206" s="64">
        <v>433</v>
      </c>
      <c r="H206" s="53"/>
    </row>
    <row r="207" spans="1:8" ht="18">
      <c r="A207" s="53"/>
      <c r="B207" s="74" t="s">
        <v>375</v>
      </c>
      <c r="C207" s="63" t="s">
        <v>368</v>
      </c>
      <c r="D207" s="64">
        <v>0</v>
      </c>
      <c r="E207" s="55">
        <v>420</v>
      </c>
      <c r="F207" s="64">
        <v>0</v>
      </c>
      <c r="G207" s="64">
        <v>420</v>
      </c>
      <c r="H207" s="53"/>
    </row>
    <row r="208" spans="1:8" ht="18">
      <c r="A208" s="53"/>
      <c r="B208" s="74" t="s">
        <v>173</v>
      </c>
      <c r="C208" s="63" t="s">
        <v>85</v>
      </c>
      <c r="D208" s="64">
        <v>0</v>
      </c>
      <c r="E208" s="55">
        <v>431</v>
      </c>
      <c r="F208" s="64">
        <v>0</v>
      </c>
      <c r="G208" s="64">
        <v>431</v>
      </c>
      <c r="H208" s="53"/>
    </row>
    <row r="209" spans="1:8" ht="18">
      <c r="A209" s="53"/>
      <c r="B209" s="74" t="s">
        <v>584</v>
      </c>
      <c r="C209" s="63" t="s">
        <v>86</v>
      </c>
      <c r="D209" s="64">
        <v>0</v>
      </c>
      <c r="E209" s="55">
        <v>2161</v>
      </c>
      <c r="F209" s="64">
        <v>0</v>
      </c>
      <c r="G209" s="64">
        <v>2161</v>
      </c>
      <c r="H209" s="53"/>
    </row>
    <row r="210" spans="1:8">
      <c r="A210" s="53"/>
      <c r="B210" s="74" t="s">
        <v>174</v>
      </c>
      <c r="C210" s="63" t="s">
        <v>87</v>
      </c>
      <c r="D210" s="64">
        <v>0</v>
      </c>
      <c r="E210" s="55">
        <v>15593</v>
      </c>
      <c r="F210" s="64">
        <v>0</v>
      </c>
      <c r="G210" s="64">
        <v>15593</v>
      </c>
      <c r="H210" s="53"/>
    </row>
    <row r="211" spans="1:8">
      <c r="A211" s="53"/>
      <c r="B211" s="74" t="s">
        <v>175</v>
      </c>
      <c r="C211" s="63" t="s">
        <v>88</v>
      </c>
      <c r="D211" s="64">
        <v>0</v>
      </c>
      <c r="E211" s="55">
        <v>341</v>
      </c>
      <c r="F211" s="64">
        <v>0</v>
      </c>
      <c r="G211" s="64">
        <v>341</v>
      </c>
      <c r="H211" s="53"/>
    </row>
    <row r="212" spans="1:8">
      <c r="A212" s="53"/>
      <c r="B212" s="74" t="s">
        <v>585</v>
      </c>
      <c r="C212" s="63" t="s">
        <v>89</v>
      </c>
      <c r="D212" s="64">
        <v>0</v>
      </c>
      <c r="E212" s="55">
        <v>9663</v>
      </c>
      <c r="F212" s="64">
        <v>0</v>
      </c>
      <c r="G212" s="64">
        <v>9663</v>
      </c>
      <c r="H212" s="53"/>
    </row>
    <row r="213" spans="1:8">
      <c r="A213" s="53"/>
      <c r="B213" s="74" t="s">
        <v>720</v>
      </c>
      <c r="C213" s="63" t="s">
        <v>534</v>
      </c>
      <c r="D213" s="64">
        <v>0</v>
      </c>
      <c r="E213" s="55">
        <v>5589</v>
      </c>
      <c r="F213" s="64">
        <v>0</v>
      </c>
      <c r="G213" s="64">
        <v>5589</v>
      </c>
      <c r="H213" s="53"/>
    </row>
    <row r="214" spans="1:8">
      <c r="A214" s="53"/>
      <c r="B214" s="74" t="s">
        <v>157</v>
      </c>
      <c r="C214" s="63" t="s">
        <v>90</v>
      </c>
      <c r="D214" s="64">
        <v>0</v>
      </c>
      <c r="E214" s="55">
        <v>40034</v>
      </c>
      <c r="F214" s="64">
        <v>0</v>
      </c>
      <c r="G214" s="64">
        <v>40034</v>
      </c>
      <c r="H214" s="53"/>
    </row>
    <row r="215" spans="1:8">
      <c r="A215" s="53"/>
      <c r="B215" s="74" t="s">
        <v>176</v>
      </c>
      <c r="C215" s="63" t="s">
        <v>91</v>
      </c>
      <c r="D215" s="64">
        <v>0</v>
      </c>
      <c r="E215" s="55">
        <v>15222</v>
      </c>
      <c r="F215" s="64">
        <v>0</v>
      </c>
      <c r="G215" s="64">
        <v>15222</v>
      </c>
      <c r="H215" s="53"/>
    </row>
    <row r="216" spans="1:8">
      <c r="A216" s="53"/>
      <c r="B216" s="74" t="s">
        <v>177</v>
      </c>
      <c r="C216" s="63" t="s">
        <v>92</v>
      </c>
      <c r="D216" s="64">
        <v>0</v>
      </c>
      <c r="E216" s="55">
        <v>383</v>
      </c>
      <c r="F216" s="64">
        <v>0</v>
      </c>
      <c r="G216" s="64">
        <v>383</v>
      </c>
      <c r="H216" s="53"/>
    </row>
    <row r="217" spans="1:8">
      <c r="A217" s="53"/>
      <c r="B217" s="74" t="s">
        <v>721</v>
      </c>
      <c r="C217" s="63" t="s">
        <v>535</v>
      </c>
      <c r="D217" s="64">
        <v>0</v>
      </c>
      <c r="E217" s="55">
        <v>165</v>
      </c>
      <c r="F217" s="64">
        <v>0</v>
      </c>
      <c r="G217" s="64">
        <v>165</v>
      </c>
      <c r="H217" s="53"/>
    </row>
    <row r="218" spans="1:8">
      <c r="A218" s="53"/>
      <c r="B218" s="74" t="s">
        <v>158</v>
      </c>
      <c r="C218" s="63" t="s">
        <v>93</v>
      </c>
      <c r="D218" s="64">
        <v>0</v>
      </c>
      <c r="E218" s="55">
        <v>19420</v>
      </c>
      <c r="F218" s="64">
        <v>0</v>
      </c>
      <c r="G218" s="64">
        <v>19420</v>
      </c>
      <c r="H218" s="53"/>
    </row>
    <row r="219" spans="1:8">
      <c r="A219" s="53"/>
      <c r="B219" s="74" t="s">
        <v>586</v>
      </c>
      <c r="C219" s="63" t="s">
        <v>536</v>
      </c>
      <c r="D219" s="64">
        <v>0</v>
      </c>
      <c r="E219" s="55">
        <v>1723</v>
      </c>
      <c r="F219" s="64">
        <v>0</v>
      </c>
      <c r="G219" s="64">
        <v>1723</v>
      </c>
      <c r="H219" s="53"/>
    </row>
    <row r="220" spans="1:8">
      <c r="A220" s="53"/>
      <c r="B220" s="74" t="s">
        <v>198</v>
      </c>
      <c r="C220" s="63" t="s">
        <v>94</v>
      </c>
      <c r="D220" s="64">
        <v>0</v>
      </c>
      <c r="E220" s="55">
        <v>2213</v>
      </c>
      <c r="F220" s="64">
        <v>0</v>
      </c>
      <c r="G220" s="64">
        <v>2213</v>
      </c>
      <c r="H220" s="53"/>
    </row>
    <row r="221" spans="1:8">
      <c r="A221" s="53"/>
      <c r="B221" s="74" t="s">
        <v>465</v>
      </c>
      <c r="C221" s="63" t="s">
        <v>466</v>
      </c>
      <c r="D221" s="64">
        <v>0</v>
      </c>
      <c r="E221" s="55">
        <v>907</v>
      </c>
      <c r="F221" s="64">
        <v>0</v>
      </c>
      <c r="G221" s="64">
        <v>907</v>
      </c>
      <c r="H221" s="53"/>
    </row>
    <row r="222" spans="1:8">
      <c r="A222" s="53"/>
      <c r="B222" s="74" t="s">
        <v>159</v>
      </c>
      <c r="C222" s="63" t="s">
        <v>95</v>
      </c>
      <c r="D222" s="64">
        <v>0</v>
      </c>
      <c r="E222" s="55">
        <v>78014</v>
      </c>
      <c r="F222" s="64">
        <v>0</v>
      </c>
      <c r="G222" s="64">
        <v>78014</v>
      </c>
      <c r="H222" s="53"/>
    </row>
    <row r="223" spans="1:8">
      <c r="A223" s="53"/>
      <c r="B223" s="74" t="s">
        <v>178</v>
      </c>
      <c r="C223" s="63" t="s">
        <v>96</v>
      </c>
      <c r="D223" s="64">
        <v>0</v>
      </c>
      <c r="E223" s="55">
        <v>62866</v>
      </c>
      <c r="F223" s="64">
        <v>0</v>
      </c>
      <c r="G223" s="64">
        <v>62866</v>
      </c>
      <c r="H223" s="53"/>
    </row>
    <row r="224" spans="1:8">
      <c r="A224" s="53"/>
      <c r="B224" s="74" t="s">
        <v>376</v>
      </c>
      <c r="C224" s="61" t="s">
        <v>369</v>
      </c>
      <c r="D224" s="62">
        <v>0</v>
      </c>
      <c r="E224" s="55">
        <v>125</v>
      </c>
      <c r="F224" s="62">
        <v>0</v>
      </c>
      <c r="G224" s="62">
        <v>125</v>
      </c>
      <c r="H224" s="53"/>
    </row>
    <row r="225" spans="1:8">
      <c r="A225" s="53"/>
      <c r="B225" s="74" t="s">
        <v>587</v>
      </c>
      <c r="C225" s="63" t="s">
        <v>97</v>
      </c>
      <c r="D225" s="64">
        <v>0</v>
      </c>
      <c r="E225" s="55">
        <v>10403</v>
      </c>
      <c r="F225" s="64">
        <v>0</v>
      </c>
      <c r="G225" s="64">
        <v>10403</v>
      </c>
      <c r="H225" s="53"/>
    </row>
    <row r="226" spans="1:8">
      <c r="A226" s="53"/>
      <c r="B226" s="74" t="s">
        <v>588</v>
      </c>
      <c r="C226" s="63" t="s">
        <v>98</v>
      </c>
      <c r="D226" s="64">
        <v>0</v>
      </c>
      <c r="E226" s="55">
        <v>4621</v>
      </c>
      <c r="F226" s="64">
        <v>0</v>
      </c>
      <c r="G226" s="64">
        <v>4621</v>
      </c>
      <c r="H226" s="53"/>
    </row>
    <row r="227" spans="1:8">
      <c r="A227" s="53"/>
      <c r="B227" s="74" t="s">
        <v>160</v>
      </c>
      <c r="C227" s="63" t="s">
        <v>99</v>
      </c>
      <c r="D227" s="64">
        <v>0</v>
      </c>
      <c r="E227" s="55">
        <v>3123</v>
      </c>
      <c r="F227" s="64">
        <v>0</v>
      </c>
      <c r="G227" s="64">
        <v>3123</v>
      </c>
      <c r="H227" s="53"/>
    </row>
    <row r="228" spans="1:8">
      <c r="A228" s="53"/>
      <c r="B228" s="74" t="s">
        <v>179</v>
      </c>
      <c r="C228" s="63" t="s">
        <v>100</v>
      </c>
      <c r="D228" s="64">
        <v>0</v>
      </c>
      <c r="E228" s="55">
        <v>1893</v>
      </c>
      <c r="F228" s="64">
        <v>0</v>
      </c>
      <c r="G228" s="64">
        <v>1893</v>
      </c>
      <c r="H228" s="53"/>
    </row>
    <row r="229" spans="1:8">
      <c r="A229" s="53"/>
      <c r="B229" s="74" t="s">
        <v>589</v>
      </c>
      <c r="C229" s="63" t="s">
        <v>537</v>
      </c>
      <c r="D229" s="64">
        <v>0</v>
      </c>
      <c r="E229" s="55">
        <v>1231</v>
      </c>
      <c r="F229" s="64">
        <v>0</v>
      </c>
      <c r="G229" s="64">
        <v>1231</v>
      </c>
      <c r="H229" s="53"/>
    </row>
    <row r="230" spans="1:8">
      <c r="A230" s="53"/>
      <c r="B230" s="74" t="s">
        <v>161</v>
      </c>
      <c r="C230" s="63" t="s">
        <v>101</v>
      </c>
      <c r="D230" s="64">
        <v>0</v>
      </c>
      <c r="E230" s="55">
        <v>217</v>
      </c>
      <c r="F230" s="64">
        <v>0</v>
      </c>
      <c r="G230" s="64">
        <v>217</v>
      </c>
      <c r="H230" s="53"/>
    </row>
    <row r="231" spans="1:8">
      <c r="A231" s="53"/>
      <c r="B231" s="74" t="s">
        <v>162</v>
      </c>
      <c r="C231" s="63" t="s">
        <v>102</v>
      </c>
      <c r="D231" s="64">
        <v>0</v>
      </c>
      <c r="E231" s="55">
        <v>100</v>
      </c>
      <c r="F231" s="64">
        <v>0</v>
      </c>
      <c r="G231" s="64">
        <v>100</v>
      </c>
      <c r="H231" s="53"/>
    </row>
    <row r="232" spans="1:8">
      <c r="A232" s="53"/>
      <c r="B232" s="74" t="s">
        <v>163</v>
      </c>
      <c r="C232" s="63" t="s">
        <v>103</v>
      </c>
      <c r="D232" s="64">
        <v>0</v>
      </c>
      <c r="E232" s="55">
        <v>117</v>
      </c>
      <c r="F232" s="64">
        <v>0</v>
      </c>
      <c r="G232" s="64">
        <v>117</v>
      </c>
      <c r="H232" s="53"/>
    </row>
    <row r="233" spans="1:8" ht="18">
      <c r="A233" s="53"/>
      <c r="B233" s="74" t="s">
        <v>164</v>
      </c>
      <c r="C233" s="63" t="s">
        <v>104</v>
      </c>
      <c r="D233" s="64">
        <v>0</v>
      </c>
      <c r="E233" s="55">
        <v>4724</v>
      </c>
      <c r="F233" s="64">
        <v>0</v>
      </c>
      <c r="G233" s="64">
        <v>4724</v>
      </c>
      <c r="H233" s="53"/>
    </row>
    <row r="234" spans="1:8">
      <c r="A234" s="53"/>
      <c r="B234" s="74" t="s">
        <v>180</v>
      </c>
      <c r="C234" s="63" t="s">
        <v>105</v>
      </c>
      <c r="D234" s="64">
        <v>0</v>
      </c>
      <c r="E234" s="55">
        <v>1793</v>
      </c>
      <c r="F234" s="64">
        <v>0</v>
      </c>
      <c r="G234" s="64">
        <v>1793</v>
      </c>
      <c r="H234" s="53"/>
    </row>
    <row r="235" spans="1:8" ht="18">
      <c r="A235" s="53"/>
      <c r="B235" s="74" t="s">
        <v>181</v>
      </c>
      <c r="C235" s="63" t="s">
        <v>106</v>
      </c>
      <c r="D235" s="64">
        <v>0</v>
      </c>
      <c r="E235" s="55">
        <v>2585</v>
      </c>
      <c r="F235" s="64">
        <v>0</v>
      </c>
      <c r="G235" s="64">
        <v>2585</v>
      </c>
      <c r="H235" s="53"/>
    </row>
    <row r="236" spans="1:8">
      <c r="A236" s="53"/>
      <c r="B236" s="74" t="s">
        <v>722</v>
      </c>
      <c r="C236" s="63" t="s">
        <v>107</v>
      </c>
      <c r="D236" s="64">
        <v>0</v>
      </c>
      <c r="E236" s="55">
        <v>1</v>
      </c>
      <c r="F236" s="64">
        <v>0</v>
      </c>
      <c r="G236" s="64">
        <v>1</v>
      </c>
      <c r="H236" s="53"/>
    </row>
    <row r="237" spans="1:8">
      <c r="A237" s="53"/>
      <c r="B237" s="74" t="s">
        <v>182</v>
      </c>
      <c r="C237" s="63" t="s">
        <v>108</v>
      </c>
      <c r="D237" s="64">
        <v>0</v>
      </c>
      <c r="E237" s="55">
        <v>76</v>
      </c>
      <c r="F237" s="64">
        <v>0</v>
      </c>
      <c r="G237" s="64">
        <v>76</v>
      </c>
      <c r="H237" s="53"/>
    </row>
    <row r="238" spans="1:8">
      <c r="A238" s="53"/>
      <c r="B238" s="74" t="s">
        <v>591</v>
      </c>
      <c r="C238" s="63" t="s">
        <v>538</v>
      </c>
      <c r="D238" s="64">
        <v>0</v>
      </c>
      <c r="E238" s="55">
        <v>269</v>
      </c>
      <c r="F238" s="64">
        <v>0</v>
      </c>
      <c r="G238" s="64">
        <v>269</v>
      </c>
      <c r="H238" s="53"/>
    </row>
    <row r="239" spans="1:8">
      <c r="A239" s="53"/>
      <c r="B239" s="74" t="s">
        <v>723</v>
      </c>
      <c r="C239" s="63" t="s">
        <v>539</v>
      </c>
      <c r="D239" s="64">
        <v>0</v>
      </c>
      <c r="E239" s="55">
        <v>268</v>
      </c>
      <c r="F239" s="64">
        <v>268</v>
      </c>
      <c r="G239" s="64">
        <v>0</v>
      </c>
      <c r="H239" s="53"/>
    </row>
    <row r="240" spans="1:8">
      <c r="A240" s="53"/>
      <c r="B240" s="74" t="s">
        <v>724</v>
      </c>
      <c r="C240" s="63" t="s">
        <v>26</v>
      </c>
      <c r="D240" s="64">
        <v>0</v>
      </c>
      <c r="E240" s="55">
        <v>268</v>
      </c>
      <c r="F240" s="64">
        <v>268</v>
      </c>
      <c r="G240" s="64">
        <v>0</v>
      </c>
      <c r="H240" s="53"/>
    </row>
    <row r="241" spans="1:8">
      <c r="A241" s="53"/>
      <c r="B241" s="74" t="s">
        <v>139</v>
      </c>
      <c r="C241" s="63" t="s">
        <v>228</v>
      </c>
      <c r="D241" s="64">
        <v>0</v>
      </c>
      <c r="E241" s="55">
        <v>1100</v>
      </c>
      <c r="F241" s="64">
        <v>0</v>
      </c>
      <c r="G241" s="64">
        <v>1100</v>
      </c>
      <c r="H241" s="53"/>
    </row>
    <row r="242" spans="1:8">
      <c r="A242" s="53"/>
      <c r="B242" s="74" t="s">
        <v>232</v>
      </c>
      <c r="C242" s="63" t="s">
        <v>29</v>
      </c>
      <c r="D242" s="64">
        <v>0</v>
      </c>
      <c r="E242" s="55">
        <v>546</v>
      </c>
      <c r="F242" s="64">
        <v>0</v>
      </c>
      <c r="G242" s="64">
        <v>546</v>
      </c>
      <c r="H242" s="53"/>
    </row>
    <row r="243" spans="1:8">
      <c r="A243" s="53"/>
      <c r="B243" s="74" t="s">
        <v>592</v>
      </c>
      <c r="C243" s="63" t="s">
        <v>24</v>
      </c>
      <c r="D243" s="64">
        <v>0</v>
      </c>
      <c r="E243" s="55">
        <v>131</v>
      </c>
      <c r="F243" s="64">
        <v>0</v>
      </c>
      <c r="G243" s="64">
        <v>131</v>
      </c>
      <c r="H243" s="53"/>
    </row>
    <row r="244" spans="1:8">
      <c r="A244" s="53"/>
      <c r="B244" s="74" t="s">
        <v>233</v>
      </c>
      <c r="C244" s="63" t="s">
        <v>26</v>
      </c>
      <c r="D244" s="64">
        <v>0</v>
      </c>
      <c r="E244" s="55">
        <v>424</v>
      </c>
      <c r="F244" s="64">
        <v>0</v>
      </c>
      <c r="G244" s="64">
        <v>424</v>
      </c>
      <c r="H244" s="53"/>
    </row>
    <row r="245" spans="1:8">
      <c r="A245" s="53"/>
      <c r="B245" s="74" t="s">
        <v>165</v>
      </c>
      <c r="C245" s="61" t="s">
        <v>109</v>
      </c>
      <c r="D245" s="62">
        <v>0</v>
      </c>
      <c r="E245" s="55">
        <v>2721463</v>
      </c>
      <c r="F245" s="62">
        <v>0</v>
      </c>
      <c r="G245" s="62">
        <v>2721463</v>
      </c>
      <c r="H245" s="53"/>
    </row>
    <row r="246" spans="1:8">
      <c r="A246" s="53"/>
      <c r="B246" s="74" t="s">
        <v>135</v>
      </c>
      <c r="C246" s="63" t="s">
        <v>46</v>
      </c>
      <c r="D246" s="64">
        <v>0</v>
      </c>
      <c r="E246" s="55">
        <v>2721463</v>
      </c>
      <c r="F246" s="64">
        <v>0</v>
      </c>
      <c r="G246" s="64">
        <v>2721463</v>
      </c>
      <c r="H246" s="53"/>
    </row>
    <row r="247" spans="1:8" ht="18">
      <c r="A247" s="53"/>
      <c r="B247" s="74" t="s">
        <v>467</v>
      </c>
      <c r="C247" s="63" t="s">
        <v>468</v>
      </c>
      <c r="D247" s="64">
        <v>0</v>
      </c>
      <c r="E247" s="55">
        <v>408725</v>
      </c>
      <c r="F247" s="64">
        <v>0</v>
      </c>
      <c r="G247" s="64">
        <v>408725</v>
      </c>
      <c r="H247" s="53"/>
    </row>
    <row r="248" spans="1:8" ht="18">
      <c r="A248" s="53"/>
      <c r="B248" s="74" t="s">
        <v>725</v>
      </c>
      <c r="C248" s="63" t="s">
        <v>540</v>
      </c>
      <c r="D248" s="64">
        <v>0</v>
      </c>
      <c r="E248" s="55">
        <v>408725</v>
      </c>
      <c r="F248" s="64">
        <v>0</v>
      </c>
      <c r="G248" s="64">
        <v>408725</v>
      </c>
      <c r="H248" s="53"/>
    </row>
    <row r="249" spans="1:8" ht="18">
      <c r="A249" s="53"/>
      <c r="B249" s="74" t="s">
        <v>257</v>
      </c>
      <c r="C249" s="63" t="s">
        <v>255</v>
      </c>
      <c r="D249" s="64">
        <v>0</v>
      </c>
      <c r="E249" s="55">
        <v>2310849</v>
      </c>
      <c r="F249" s="64">
        <v>0</v>
      </c>
      <c r="G249" s="64">
        <v>2310849</v>
      </c>
      <c r="H249" s="53"/>
    </row>
    <row r="250" spans="1:8">
      <c r="A250" s="53"/>
      <c r="B250" s="74" t="s">
        <v>726</v>
      </c>
      <c r="C250" s="63" t="s">
        <v>498</v>
      </c>
      <c r="D250" s="64">
        <v>0</v>
      </c>
      <c r="E250" s="55">
        <v>2123300</v>
      </c>
      <c r="F250" s="64">
        <v>0</v>
      </c>
      <c r="G250" s="64">
        <v>2123300</v>
      </c>
      <c r="H250" s="53"/>
    </row>
    <row r="251" spans="1:8" ht="18">
      <c r="A251" s="53"/>
      <c r="B251" s="74" t="s">
        <v>727</v>
      </c>
      <c r="C251" s="63" t="s">
        <v>541</v>
      </c>
      <c r="D251" s="64">
        <v>0</v>
      </c>
      <c r="E251" s="55">
        <v>22342</v>
      </c>
      <c r="F251" s="64">
        <v>0</v>
      </c>
      <c r="G251" s="64">
        <v>22342</v>
      </c>
      <c r="H251" s="53"/>
    </row>
    <row r="252" spans="1:8" ht="18">
      <c r="A252" s="53"/>
      <c r="B252" s="74" t="s">
        <v>728</v>
      </c>
      <c r="C252" s="63" t="s">
        <v>501</v>
      </c>
      <c r="D252" s="64">
        <v>0</v>
      </c>
      <c r="E252" s="55">
        <v>6118</v>
      </c>
      <c r="F252" s="64">
        <v>0</v>
      </c>
      <c r="G252" s="64">
        <v>6118</v>
      </c>
      <c r="H252" s="53"/>
    </row>
    <row r="253" spans="1:8" ht="18">
      <c r="A253" s="53"/>
      <c r="B253" s="74" t="s">
        <v>729</v>
      </c>
      <c r="C253" s="63" t="s">
        <v>542</v>
      </c>
      <c r="D253" s="64">
        <v>0</v>
      </c>
      <c r="E253" s="55">
        <v>135051</v>
      </c>
      <c r="F253" s="64">
        <v>0</v>
      </c>
      <c r="G253" s="64">
        <v>135051</v>
      </c>
      <c r="H253" s="53"/>
    </row>
    <row r="254" spans="1:8" ht="18">
      <c r="A254" s="53"/>
      <c r="B254" s="74" t="s">
        <v>730</v>
      </c>
      <c r="C254" s="63" t="s">
        <v>543</v>
      </c>
      <c r="D254" s="64">
        <v>0</v>
      </c>
      <c r="E254" s="55">
        <v>24039</v>
      </c>
      <c r="F254" s="64">
        <v>0</v>
      </c>
      <c r="G254" s="64">
        <v>24039</v>
      </c>
      <c r="H254" s="53"/>
    </row>
    <row r="255" spans="1:8" ht="18">
      <c r="A255" s="53"/>
      <c r="B255" s="74" t="s">
        <v>731</v>
      </c>
      <c r="C255" s="63" t="s">
        <v>544</v>
      </c>
      <c r="D255" s="64">
        <v>0</v>
      </c>
      <c r="E255" s="55">
        <v>1888</v>
      </c>
      <c r="F255" s="64">
        <v>0</v>
      </c>
      <c r="G255" s="64">
        <v>1888</v>
      </c>
      <c r="H255" s="53"/>
    </row>
    <row r="256" spans="1:8" ht="18">
      <c r="A256" s="53"/>
      <c r="B256" s="74" t="s">
        <v>732</v>
      </c>
      <c r="C256" s="65" t="s">
        <v>545</v>
      </c>
      <c r="D256" s="66">
        <v>0</v>
      </c>
      <c r="E256" s="55">
        <v>1888</v>
      </c>
      <c r="F256" s="66">
        <v>0</v>
      </c>
      <c r="G256" s="66">
        <v>1888</v>
      </c>
      <c r="H256" s="53"/>
    </row>
    <row r="257" spans="1:8">
      <c r="A257" s="53"/>
      <c r="B257" s="67" t="s">
        <v>370</v>
      </c>
      <c r="C257" s="68"/>
      <c r="D257" s="69">
        <v>0</v>
      </c>
      <c r="E257" s="54">
        <v>23179207</v>
      </c>
      <c r="F257" s="69">
        <v>23179207</v>
      </c>
      <c r="G257" s="69">
        <v>0</v>
      </c>
      <c r="H257" s="53"/>
    </row>
    <row r="258" spans="1:8">
      <c r="A258" s="53"/>
      <c r="B258" s="53"/>
      <c r="C258" s="53"/>
      <c r="D258" s="53"/>
      <c r="E258" s="53"/>
      <c r="F258" s="53"/>
      <c r="G258" s="53"/>
      <c r="H258" s="53"/>
    </row>
  </sheetData>
  <autoFilter ref="B13:G257" xr:uid="{00000000-0009-0000-0000-000008000000}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Cuadraturas</vt:lpstr>
      <vt:lpstr>Balance</vt:lpstr>
      <vt:lpstr>EE RR</vt:lpstr>
      <vt:lpstr>Sit. Pptaria Prog. 01 </vt:lpstr>
      <vt:lpstr>Flujo Efectivo</vt:lpstr>
      <vt:lpstr>Fondos no Pptarios</vt:lpstr>
      <vt:lpstr>Cambio Patrimonio</vt:lpstr>
      <vt:lpstr>Balance Ag</vt:lpstr>
      <vt:lpstr>Ene - May</vt:lpstr>
      <vt:lpstr>Jun - Dic</vt:lpstr>
      <vt:lpstr>'EE RR'!Títulos_a_imprimir</vt:lpstr>
    </vt:vector>
  </TitlesOfParts>
  <Company>Division Tecnologias de la Informacion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Saldias Burgos</dc:creator>
  <cp:lastModifiedBy>Claudia Muñoz S</cp:lastModifiedBy>
  <cp:lastPrinted>2016-10-18T21:11:42Z</cp:lastPrinted>
  <dcterms:created xsi:type="dcterms:W3CDTF">2012-04-18T13:21:47Z</dcterms:created>
  <dcterms:modified xsi:type="dcterms:W3CDTF">2020-03-20T13:22:08Z</dcterms:modified>
</cp:coreProperties>
</file>